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66925"/>
  <xr:revisionPtr revIDLastSave="0" documentId="13_ncr:1_{D129F5E1-F960-4738-9B57-89CE991704F2}" xr6:coauthVersionLast="47" xr6:coauthVersionMax="47" xr10:uidLastSave="{00000000-0000-0000-0000-000000000000}"/>
  <bookViews>
    <workbookView xWindow="-108" yWindow="-108" windowWidth="23256" windowHeight="12576" activeTab="1" xr2:uid="{9A9AA887-4F24-477D-B5A4-7C60E34A476C}"/>
  </bookViews>
  <sheets>
    <sheet name="NBRC株" sheetId="11" r:id="rId1"/>
    <sheet name="RD 株 " sheetId="12" r:id="rId2"/>
  </sheets>
  <definedNames>
    <definedName name="_xlnm._FilterDatabase" localSheetId="0" hidden="1">NBRC株!$A$2:$J$497</definedName>
    <definedName name="_xlnm._FilterDatabase" localSheetId="1" hidden="1">'RD 株 '!$A$3:$J$301</definedName>
    <definedName name="_xlnm.Print_Area" localSheetId="0">NBRC株!$A$1:$J$496</definedName>
    <definedName name="_xlnm.Print_Area" localSheetId="1">'RD 株 '!$A$1:$J$302</definedName>
    <definedName name="_xlnm.Print_Titles" localSheetId="0">NBRC株!$2:$2</definedName>
    <definedName name="_xlnm.Print_Titles" localSheetId="1">'RD 株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2" l="1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2" i="12"/>
  <c r="H133" i="12"/>
  <c r="H134" i="12"/>
  <c r="H135" i="12"/>
  <c r="H136" i="12"/>
  <c r="H137" i="12"/>
  <c r="H138" i="12"/>
  <c r="H141" i="12"/>
  <c r="H143" i="12"/>
  <c r="H144" i="12"/>
  <c r="H145" i="12"/>
  <c r="H146" i="12"/>
  <c r="H150" i="12"/>
  <c r="H151" i="12"/>
  <c r="H152" i="12"/>
  <c r="H153" i="12"/>
  <c r="H154" i="12"/>
  <c r="H155" i="12"/>
  <c r="H156" i="12"/>
  <c r="H157" i="12"/>
  <c r="H158" i="12"/>
  <c r="H159" i="12"/>
  <c r="H160" i="12"/>
  <c r="H162" i="12"/>
  <c r="H163" i="12"/>
  <c r="H164" i="12"/>
  <c r="H165" i="12"/>
  <c r="H166" i="12"/>
  <c r="H167" i="12"/>
  <c r="H168" i="12"/>
  <c r="H171" i="12"/>
  <c r="H172" i="12"/>
  <c r="H173" i="12"/>
  <c r="H174" i="12"/>
  <c r="H175" i="12"/>
  <c r="H176" i="12"/>
  <c r="H177" i="12"/>
  <c r="H180" i="12"/>
  <c r="H181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2" i="12"/>
  <c r="H223" i="12"/>
  <c r="H224" i="12"/>
  <c r="H225" i="12"/>
  <c r="H226" i="12"/>
  <c r="H227" i="12"/>
  <c r="H228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6" i="12"/>
  <c r="H247" i="12"/>
  <c r="H248" i="12"/>
  <c r="H250" i="12"/>
  <c r="H251" i="12"/>
  <c r="H252" i="12"/>
  <c r="H254" i="12"/>
  <c r="H255" i="12"/>
  <c r="H256" i="12"/>
  <c r="H257" i="12"/>
  <c r="H258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I124" i="11"/>
  <c r="I127" i="11"/>
  <c r="I135" i="11"/>
  <c r="I163" i="11"/>
  <c r="I215" i="11"/>
  <c r="I233" i="11"/>
  <c r="I240" i="11"/>
  <c r="I256" i="11"/>
  <c r="I258" i="11"/>
  <c r="I259" i="11"/>
  <c r="I270" i="11"/>
  <c r="I277" i="11"/>
  <c r="I278" i="11"/>
  <c r="I279" i="11"/>
  <c r="I280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8" i="11"/>
  <c r="I315" i="11"/>
  <c r="I316" i="11"/>
  <c r="I317" i="11"/>
  <c r="I319" i="11"/>
  <c r="I321" i="11"/>
  <c r="I328" i="11"/>
  <c r="I334" i="11"/>
  <c r="I336" i="11"/>
  <c r="I337" i="11"/>
  <c r="I376" i="11"/>
  <c r="I378" i="11"/>
  <c r="I379" i="11"/>
  <c r="I406" i="11"/>
  <c r="I407" i="11"/>
  <c r="I408" i="11"/>
  <c r="I409" i="11"/>
  <c r="I412" i="11"/>
  <c r="I414" i="11"/>
  <c r="I427" i="11"/>
  <c r="I428" i="11"/>
  <c r="I429" i="11"/>
  <c r="I432" i="11"/>
  <c r="I433" i="11"/>
  <c r="I434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88" i="11"/>
  <c r="I489" i="11"/>
  <c r="I490" i="11"/>
  <c r="I491" i="11"/>
  <c r="I492" i="11"/>
  <c r="I493" i="11"/>
  <c r="I494" i="11"/>
  <c r="I495" i="11"/>
  <c r="I496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09" i="11"/>
  <c r="H310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2" i="11"/>
  <c r="H353" i="11"/>
  <c r="H354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387" i="11"/>
  <c r="H388" i="11"/>
  <c r="H389" i="11"/>
  <c r="H390" i="11"/>
  <c r="H391" i="11"/>
  <c r="H392" i="11"/>
  <c r="H393" i="11"/>
  <c r="H394" i="11"/>
  <c r="H395" i="11"/>
  <c r="H396" i="11"/>
  <c r="H397" i="11"/>
  <c r="H398" i="11"/>
  <c r="H399" i="11"/>
  <c r="H400" i="11"/>
  <c r="H401" i="11"/>
  <c r="H402" i="11"/>
  <c r="H403" i="11"/>
  <c r="H404" i="11"/>
  <c r="H405" i="11"/>
  <c r="H406" i="11"/>
  <c r="H407" i="11"/>
  <c r="H408" i="11"/>
  <c r="H409" i="11"/>
  <c r="H410" i="11"/>
  <c r="H411" i="11"/>
  <c r="H412" i="11"/>
  <c r="H413" i="11"/>
  <c r="H414" i="11"/>
  <c r="H415" i="11"/>
  <c r="H416" i="11"/>
  <c r="H417" i="11"/>
  <c r="H418" i="11"/>
  <c r="H419" i="11"/>
  <c r="H420" i="11"/>
  <c r="H421" i="11"/>
  <c r="H422" i="11"/>
  <c r="H423" i="11"/>
  <c r="H424" i="11"/>
  <c r="H425" i="11"/>
  <c r="H426" i="11"/>
  <c r="H427" i="11"/>
  <c r="H428" i="11"/>
  <c r="H429" i="11"/>
  <c r="H430" i="11"/>
  <c r="H431" i="11"/>
  <c r="H432" i="11"/>
  <c r="H433" i="11"/>
  <c r="H434" i="11"/>
  <c r="H435" i="11"/>
  <c r="H436" i="11"/>
  <c r="H437" i="11"/>
  <c r="H438" i="11"/>
  <c r="H439" i="11"/>
  <c r="H440" i="11"/>
  <c r="H441" i="11"/>
  <c r="H442" i="11"/>
  <c r="H443" i="11"/>
  <c r="H444" i="11"/>
  <c r="H445" i="11"/>
  <c r="H446" i="11"/>
  <c r="H447" i="11"/>
  <c r="H448" i="11"/>
  <c r="H449" i="11"/>
  <c r="H450" i="11"/>
  <c r="H451" i="11"/>
  <c r="H452" i="11"/>
  <c r="H453" i="11"/>
  <c r="H454" i="11"/>
  <c r="H455" i="11"/>
  <c r="H456" i="11"/>
  <c r="H457" i="11"/>
  <c r="H458" i="11"/>
  <c r="H459" i="11"/>
  <c r="H460" i="11"/>
  <c r="H461" i="11"/>
  <c r="H462" i="11"/>
  <c r="H463" i="11"/>
  <c r="H464" i="11"/>
  <c r="H465" i="11"/>
  <c r="H466" i="11"/>
  <c r="H467" i="11"/>
  <c r="H468" i="11"/>
  <c r="H469" i="11"/>
  <c r="H470" i="11"/>
  <c r="H471" i="11"/>
  <c r="H472" i="11"/>
  <c r="H473" i="11"/>
  <c r="H474" i="11"/>
  <c r="H475" i="11"/>
  <c r="H476" i="11"/>
  <c r="H477" i="11"/>
  <c r="H478" i="11"/>
  <c r="H479" i="11"/>
  <c r="H480" i="11"/>
  <c r="H481" i="11"/>
  <c r="H482" i="11"/>
  <c r="H483" i="11"/>
  <c r="H484" i="11"/>
  <c r="H485" i="11"/>
  <c r="H486" i="11"/>
  <c r="H487" i="11"/>
  <c r="H488" i="11"/>
  <c r="H489" i="11"/>
  <c r="H490" i="11"/>
  <c r="H491" i="11"/>
  <c r="H492" i="11"/>
  <c r="H493" i="11"/>
  <c r="H494" i="11"/>
  <c r="H495" i="11"/>
  <c r="H496" i="11"/>
</calcChain>
</file>

<file path=xl/sharedStrings.xml><?xml version="1.0" encoding="utf-8"?>
<sst xmlns="http://schemas.openxmlformats.org/spreadsheetml/2006/main" count="4567" uniqueCount="1273">
  <si>
    <t>Interdigital mycotic lesion</t>
  </si>
  <si>
    <t>指趾間部の真菌性の傷</t>
  </si>
  <si>
    <t>Infected nail</t>
  </si>
  <si>
    <t>感染した爪</t>
  </si>
  <si>
    <t>White patch on throat of angina patient</t>
  </si>
  <si>
    <t>アンギナ患者の喉の白斑</t>
  </si>
  <si>
    <t>Wound</t>
  </si>
  <si>
    <t>傷</t>
  </si>
  <si>
    <t>Diseased fingernail</t>
  </si>
  <si>
    <t>罹患した爪</t>
  </si>
  <si>
    <t>Candida utilis</t>
  </si>
  <si>
    <t>Sputum</t>
  </si>
  <si>
    <t>唾液・痰</t>
  </si>
  <si>
    <t>Candida inconspicua</t>
    <phoneticPr fontId="1"/>
  </si>
  <si>
    <t>Candida glabrata</t>
  </si>
  <si>
    <t>Faeces</t>
  </si>
  <si>
    <t>糞便</t>
  </si>
  <si>
    <t>Wound on hand</t>
  </si>
  <si>
    <t>手の傷</t>
  </si>
  <si>
    <t>Filobasidium uniguttulatum</t>
  </si>
  <si>
    <t>Infected finger nail</t>
  </si>
  <si>
    <t>Candida parapsilosis</t>
    <phoneticPr fontId="1"/>
  </si>
  <si>
    <t>Healthy skin</t>
  </si>
  <si>
    <t>皮膚</t>
  </si>
  <si>
    <t>Candida norvegensis</t>
  </si>
  <si>
    <t>Sputum of asthma patient</t>
  </si>
  <si>
    <t>喘息患者の唾液・痰</t>
  </si>
  <si>
    <t>Candida inconspicua</t>
  </si>
  <si>
    <t>Zygosaccharomyces rouxii</t>
  </si>
  <si>
    <t>Dipodascus capitatus</t>
  </si>
  <si>
    <t>Sputum of man</t>
  </si>
  <si>
    <t>ヒトの唾液・痰</t>
  </si>
  <si>
    <t>Candida catenulata</t>
  </si>
  <si>
    <t>Faeces of man with dysentery</t>
  </si>
  <si>
    <t>赤痢患者の糞便</t>
  </si>
  <si>
    <t>Candida rugosa</t>
  </si>
  <si>
    <t>Faeces of Man</t>
  </si>
  <si>
    <t>ヒトの糞便</t>
  </si>
  <si>
    <t>Candida intermedia</t>
  </si>
  <si>
    <t>Debaryomyces subglobosus</t>
  </si>
  <si>
    <t>Rhodotorula mucilaginosa</t>
  </si>
  <si>
    <t>Tubercular lung</t>
  </si>
  <si>
    <t>結核の肺</t>
  </si>
  <si>
    <t>Nail</t>
  </si>
  <si>
    <t>爪</t>
  </si>
  <si>
    <t>Skin</t>
  </si>
  <si>
    <t>皮膚病変</t>
  </si>
  <si>
    <t>Hair</t>
    <phoneticPr fontId="1"/>
  </si>
  <si>
    <t>毛髪</t>
  </si>
  <si>
    <t>Skin lesion</t>
  </si>
  <si>
    <t>Sputum</t>
    <phoneticPr fontId="1"/>
  </si>
  <si>
    <t>Candida conglobata</t>
  </si>
  <si>
    <t>Candida pararugosa</t>
  </si>
  <si>
    <t>Cyberlindnera jadinii</t>
  </si>
  <si>
    <t>Pus from abscess</t>
  </si>
  <si>
    <t>膿瘍の膿</t>
  </si>
  <si>
    <t>Saccharomyces cerevisiae</t>
  </si>
  <si>
    <t>Sporobolomyces roseus</t>
  </si>
  <si>
    <t>Mycotic skin lesion</t>
  </si>
  <si>
    <t>真菌性の皮膚病変</t>
  </si>
  <si>
    <t>Candida albicans</t>
  </si>
  <si>
    <t>nail, of case of paronychia</t>
  </si>
  <si>
    <t>爪囲炎の爪</t>
  </si>
  <si>
    <t>Sputum of tuberculosis patient</t>
  </si>
  <si>
    <t>結核患者の唾液・痰</t>
  </si>
  <si>
    <t>Candida krusei</t>
  </si>
  <si>
    <t>Faeces of man</t>
  </si>
  <si>
    <t>Pichia burtonii</t>
  </si>
  <si>
    <t>Trichosporon cutaneum</t>
  </si>
  <si>
    <t>Probably from human clinical specimen</t>
  </si>
  <si>
    <t>おそらくヒトの臨床検体</t>
  </si>
  <si>
    <t>Candida membranifaciens</t>
  </si>
  <si>
    <t>Urine</t>
  </si>
  <si>
    <t>尿</t>
  </si>
  <si>
    <t>Man</t>
  </si>
  <si>
    <t>ヒト</t>
  </si>
  <si>
    <t>Cyberlindnera petersonii</t>
  </si>
  <si>
    <t>Corpse</t>
  </si>
  <si>
    <t>死体</t>
  </si>
  <si>
    <t>Skin of man with interdigitae mycosis</t>
  </si>
  <si>
    <t>ヒトの皮膚</t>
  </si>
  <si>
    <t>Infection of urino-genital tract</t>
  </si>
  <si>
    <t>尿生殖路感染</t>
  </si>
  <si>
    <t>Patient with phargngitis</t>
  </si>
  <si>
    <t>咽頭炎患者</t>
  </si>
  <si>
    <t>Pus from lung of dead man with tuberculosis</t>
  </si>
  <si>
    <t>結核患者の肺</t>
  </si>
  <si>
    <t>Surface of blastomycotic skin nodule</t>
  </si>
  <si>
    <t>ブラストミセス症の皮膚結節</t>
  </si>
  <si>
    <t>Candida tropicalis</t>
  </si>
  <si>
    <t>Bronchitic patient</t>
  </si>
  <si>
    <t>気管支炎患者</t>
  </si>
  <si>
    <t>Lung</t>
  </si>
  <si>
    <t>肺</t>
  </si>
  <si>
    <t>Infected hand</t>
  </si>
  <si>
    <t>手の感染した患部</t>
  </si>
  <si>
    <t>Hanseniaspora guilliermondii</t>
  </si>
  <si>
    <t>Rhodotorula minuta</t>
  </si>
  <si>
    <t>Throat swab</t>
  </si>
  <si>
    <t>喉のスワブ検体</t>
  </si>
  <si>
    <t>Feces of child</t>
  </si>
  <si>
    <t>子供の糞便</t>
  </si>
  <si>
    <t>Kodamaea ohmeri</t>
  </si>
  <si>
    <t>Pleural fluid</t>
  </si>
  <si>
    <t>胸腔内液</t>
  </si>
  <si>
    <t>Clinical bronchomycosis</t>
  </si>
  <si>
    <t>気管支真菌症の臨床検体</t>
  </si>
  <si>
    <t>Yarrowia lipolytica</t>
  </si>
  <si>
    <t>Fingernail</t>
  </si>
  <si>
    <t>指の爪</t>
  </si>
  <si>
    <t>Wickerhamomyces onychis</t>
  </si>
  <si>
    <t>Infected nail of a patient</t>
  </si>
  <si>
    <t>爪患部</t>
  </si>
  <si>
    <t>Pichia norvegensis</t>
  </si>
  <si>
    <t>Vagina</t>
  </si>
  <si>
    <t>膣</t>
  </si>
  <si>
    <t>Sterigmatomyces elviae</t>
  </si>
  <si>
    <t>Groin of male patient with seborreic eczema</t>
  </si>
  <si>
    <t>脂漏性皮膚炎患者の鼠径部</t>
  </si>
  <si>
    <t>Stephanoascus ciferrii</t>
  </si>
  <si>
    <t>Human throat</t>
  </si>
  <si>
    <t>ヒトの咽喉</t>
  </si>
  <si>
    <t>Ulcers</t>
  </si>
  <si>
    <t>潰瘍</t>
  </si>
  <si>
    <t>Patient with summer diarrhea</t>
  </si>
  <si>
    <t>夏季下痢を患った患者</t>
  </si>
  <si>
    <t>Acremonium potronii</t>
  </si>
  <si>
    <t>Human infection</t>
  </si>
  <si>
    <t>Aspergillus conicus</t>
  </si>
  <si>
    <t>Skin of arms</t>
  </si>
  <si>
    <t>腕の皮膚</t>
  </si>
  <si>
    <t>Aspergillus japonicus</t>
  </si>
  <si>
    <t>Trichophyton tonsurans</t>
  </si>
  <si>
    <t>Microsporum persicolor</t>
  </si>
  <si>
    <t>Exophiala dermatitidis</t>
  </si>
  <si>
    <t>Facial chromomycosis of man</t>
  </si>
  <si>
    <t>顔の皮膚真菌症患部</t>
  </si>
  <si>
    <t>Chrysosporium inops</t>
  </si>
  <si>
    <t>Human skin</t>
  </si>
  <si>
    <t>Fusarium roseum</t>
  </si>
  <si>
    <t>Human burns</t>
  </si>
  <si>
    <t>ヒトの火傷</t>
  </si>
  <si>
    <t>Polypaecilum insolitum</t>
  </si>
  <si>
    <t>Human ear</t>
  </si>
  <si>
    <t>ヒトの耳</t>
  </si>
  <si>
    <t>Penicillium chermesinum</t>
  </si>
  <si>
    <t>Rhodotorula araucariae</t>
  </si>
  <si>
    <t>Bronchial secretion</t>
  </si>
  <si>
    <t>気管支分泌物</t>
  </si>
  <si>
    <t>Clavispora lusitaniae</t>
  </si>
  <si>
    <t>Trichosporon inkin</t>
  </si>
  <si>
    <t>Skin of Man</t>
  </si>
  <si>
    <t>Sterigmatomyces halophilus</t>
  </si>
  <si>
    <t>Keloid blastomycosis</t>
  </si>
  <si>
    <t>ブラストミセス症のケロイド瘢痕</t>
  </si>
  <si>
    <t>Candida melibiosica</t>
  </si>
  <si>
    <t>Human sputum</t>
  </si>
  <si>
    <t>Human blood</t>
  </si>
  <si>
    <t>ヒトの血液</t>
  </si>
  <si>
    <t>Candida guilliermondii</t>
  </si>
  <si>
    <t>Candida norvegica</t>
  </si>
  <si>
    <t>Candida parapsilosis</t>
  </si>
  <si>
    <t>Candida metapsilosis</t>
  </si>
  <si>
    <t>Candida valdiviana</t>
  </si>
  <si>
    <t>Candida viswanathii</t>
  </si>
  <si>
    <t>Cerebro-spinal fluid</t>
  </si>
  <si>
    <t>脳脊髄液</t>
  </si>
  <si>
    <t>Candida zeylanoides</t>
  </si>
  <si>
    <t>Throat, probably uvula</t>
  </si>
  <si>
    <t>喉（おそらく口蓋垂）</t>
  </si>
  <si>
    <t>Candida aaseri</t>
  </si>
  <si>
    <t>Sporopachydermia lactativora</t>
  </si>
  <si>
    <t>Human mouth</t>
  </si>
  <si>
    <t>ヒトの口</t>
  </si>
  <si>
    <t>Debaryomyces maramus</t>
  </si>
  <si>
    <t>Geotrichum clavatum</t>
  </si>
  <si>
    <t>Human lung tissue</t>
  </si>
  <si>
    <t>ヒトの肺</t>
  </si>
  <si>
    <t>Trichosporon asahii</t>
  </si>
  <si>
    <t>Blood, child leukemia</t>
  </si>
  <si>
    <t>白血病の子供の血液</t>
  </si>
  <si>
    <t>Kazachstania servazzii</t>
  </si>
  <si>
    <t>Corynebacterium ammoniagenes</t>
  </si>
  <si>
    <t>Stool of infant</t>
  </si>
  <si>
    <t>乳児の糞便</t>
  </si>
  <si>
    <t>Nocardia brevicatena</t>
  </si>
  <si>
    <t>Sputa</t>
  </si>
  <si>
    <t>唾液</t>
  </si>
  <si>
    <t>Rothia dentocariosa</t>
  </si>
  <si>
    <t>Carious teeth</t>
    <phoneticPr fontId="1"/>
  </si>
  <si>
    <t>カリエス性の歯</t>
  </si>
  <si>
    <t>Human carious teeth</t>
  </si>
  <si>
    <t>ヒトの虫歯</t>
  </si>
  <si>
    <t>Elizabethkingia meningoseptica</t>
  </si>
  <si>
    <t>Spinal fluid from premature infant</t>
  </si>
  <si>
    <t>早産児の髄液</t>
  </si>
  <si>
    <t>Pseudomonas aeruginosa</t>
  </si>
  <si>
    <t>Corynebacterium xerosis</t>
  </si>
  <si>
    <t>Gluteal abscess</t>
  </si>
  <si>
    <t>臀筋の膿瘍</t>
  </si>
  <si>
    <t>Human lesion</t>
  </si>
  <si>
    <t>ヒトの傷</t>
  </si>
  <si>
    <t>Nocardiopsis listeri</t>
  </si>
  <si>
    <t>Human</t>
  </si>
  <si>
    <t>Streptomyces microflavus</t>
  </si>
  <si>
    <t>Man, streptotrichosis of liver</t>
  </si>
  <si>
    <t>ヒト、ストレプトトリックス症の肝臓</t>
  </si>
  <si>
    <t>Streptomyces gedanensis</t>
  </si>
  <si>
    <t>Sputum and human abscesses</t>
  </si>
  <si>
    <t>ヒトの唾液・痰、ヒトの膿瘍</t>
  </si>
  <si>
    <t>Streptomyces paraguayensis</t>
  </si>
  <si>
    <t>Cutaneous lesion of a human mycetoma</t>
  </si>
  <si>
    <t>ヒトの皮膚の膿瘍</t>
  </si>
  <si>
    <t>Providencia rettgeri</t>
  </si>
  <si>
    <t>Klebsiella aerogenes</t>
  </si>
  <si>
    <t>Lactobacillus acidophilus</t>
  </si>
  <si>
    <t>Stenotrophomonas maltophilia</t>
  </si>
  <si>
    <t>Oropharyngeal region of patient with mouth cancer</t>
  </si>
  <si>
    <t>口腔癌患者の中咽頭の部分</t>
  </si>
  <si>
    <t>Pseudomonas stutzeri</t>
  </si>
  <si>
    <t>Human spinal fluid</t>
  </si>
  <si>
    <t>ヒトの脊髄液</t>
  </si>
  <si>
    <t>Bacteroides vulgatus</t>
  </si>
  <si>
    <t>Human feces</t>
  </si>
  <si>
    <t>Clinical isolate</t>
  </si>
  <si>
    <t>臨床検体</t>
  </si>
  <si>
    <t>Oropharynx of child</t>
  </si>
  <si>
    <t>子供の中咽頭</t>
  </si>
  <si>
    <t>Pseudopropionibacterium propionicum</t>
  </si>
  <si>
    <t>Lacrimal canaliculitis</t>
  </si>
  <si>
    <t>涙小管炎</t>
  </si>
  <si>
    <t>Moraxella atlantae</t>
  </si>
  <si>
    <t>Blood</t>
  </si>
  <si>
    <t>血液</t>
  </si>
  <si>
    <t>Oligella urethralis</t>
  </si>
  <si>
    <t>Ear</t>
  </si>
  <si>
    <t>耳</t>
  </si>
  <si>
    <t>Actinomadura madurae</t>
  </si>
  <si>
    <t>Mycetoma pedis tissue</t>
  </si>
  <si>
    <t>水虫の組織検体</t>
  </si>
  <si>
    <t>Brevibacterium epidermidis</t>
  </si>
  <si>
    <t>Rectal swab</t>
  </si>
  <si>
    <t>直腸のスワブ検体</t>
  </si>
  <si>
    <t>Sputum from pneumonia patient</t>
  </si>
  <si>
    <t>肺炎患者の唾液・痰</t>
  </si>
  <si>
    <t>Empedobacter brevis</t>
  </si>
  <si>
    <t>Human bronchial secretion</t>
  </si>
  <si>
    <t>ヒトの気管支の分泌物</t>
  </si>
  <si>
    <t>Sphingobacterium mizutaii</t>
  </si>
  <si>
    <t>Ventricular fluid of fetus</t>
  </si>
  <si>
    <t>胎児の心室液</t>
  </si>
  <si>
    <t>Sphingobacterium multivorum</t>
  </si>
  <si>
    <t>Spleen</t>
  </si>
  <si>
    <t>脾臓</t>
  </si>
  <si>
    <t>Sphingobacterium spiritivorum</t>
  </si>
  <si>
    <t>Uterus</t>
  </si>
  <si>
    <t>子宮</t>
  </si>
  <si>
    <t>Sphingobacterium thalpophilum</t>
  </si>
  <si>
    <t>Wound swab</t>
  </si>
  <si>
    <t>傷のスワブ検体</t>
  </si>
  <si>
    <t>Escherichia coli</t>
  </si>
  <si>
    <t>Clinical specimen</t>
  </si>
  <si>
    <t>Chryseobacterium gleum</t>
  </si>
  <si>
    <t>High vaginal swab</t>
  </si>
  <si>
    <t>膣のスワブ検体</t>
  </si>
  <si>
    <t>Sphingomonas yanoikuyae</t>
  </si>
  <si>
    <t>Achromobacter xylosoxidans</t>
  </si>
  <si>
    <t>Ear discharge</t>
  </si>
  <si>
    <t>耳の分泌物</t>
  </si>
  <si>
    <t>Corynebacterium amycolatum</t>
  </si>
  <si>
    <t>Arthrobacter agilis</t>
  </si>
  <si>
    <t>Rothia kristinae</t>
  </si>
  <si>
    <t>Micrococcus lylae</t>
  </si>
  <si>
    <t>Corynebacterium minutissimum</t>
  </si>
  <si>
    <t>Trunk of adult female</t>
  </si>
  <si>
    <t>胴体（大人女性）</t>
  </si>
  <si>
    <t>Paenibacillus lautus</t>
  </si>
  <si>
    <t>Intestinal tract of child</t>
  </si>
  <si>
    <t>子供の腸管</t>
  </si>
  <si>
    <t>Aneurinibacillus aneurinilyticus</t>
  </si>
  <si>
    <t>Aerococcus urinae</t>
  </si>
  <si>
    <t>Alloiococcus otitis</t>
  </si>
  <si>
    <t>Middle ear infection of child, possible cause chronic otitis media</t>
  </si>
  <si>
    <t>中耳炎の子供</t>
  </si>
  <si>
    <t>Lancefieldella rimae</t>
  </si>
  <si>
    <t>Human gingival crevice</t>
  </si>
  <si>
    <t>ヒトの歯肉溝</t>
  </si>
  <si>
    <t>Human spinal cord at autopsy</t>
  </si>
  <si>
    <t>ヒトの脊髄</t>
  </si>
  <si>
    <t>Globicatella sanguinis</t>
  </si>
  <si>
    <t>Blood cultures of bacteremic patient</t>
  </si>
  <si>
    <t>菌血症患者の血液培養物</t>
  </si>
  <si>
    <t>Helcococcus kunzii</t>
  </si>
  <si>
    <t>Human wound</t>
  </si>
  <si>
    <t>Zimmermannella alba</t>
  </si>
  <si>
    <t>Vibrio vulnificus</t>
  </si>
  <si>
    <t>Bacillus alcalophilus</t>
  </si>
  <si>
    <t>Rothia mucilaginosa</t>
  </si>
  <si>
    <t>Human pharynx</t>
  </si>
  <si>
    <t>ヒトの咽頭</t>
  </si>
  <si>
    <t>Microbacterium hominis</t>
  </si>
  <si>
    <t>Lung aspirate</t>
  </si>
  <si>
    <t>肺の吸引液</t>
  </si>
  <si>
    <t>Gulosibacter bifidus</t>
  </si>
  <si>
    <t>Ochrobactrum intermedium</t>
  </si>
  <si>
    <t>Blood culture</t>
  </si>
  <si>
    <t>血液の入った培養物</t>
  </si>
  <si>
    <t>Intestine of adult</t>
  </si>
  <si>
    <t>大人の腸管</t>
  </si>
  <si>
    <t>Bergeyella zoohelcum</t>
  </si>
  <si>
    <t>Weeksella virosa</t>
  </si>
  <si>
    <t>Urine, human</t>
  </si>
  <si>
    <t>ヒトの尿</t>
  </si>
  <si>
    <t>Gordonia bronchialis</t>
  </si>
  <si>
    <t>Sputa of patients with pulmonary disease</t>
  </si>
  <si>
    <t>肺疾患患者の唾液</t>
  </si>
  <si>
    <t>Cellulomonas hominis</t>
  </si>
  <si>
    <t>Cerebrospinal fluid</t>
  </si>
  <si>
    <t>Ear discharge of child</t>
  </si>
  <si>
    <t>子供の耳からの分泌物</t>
  </si>
  <si>
    <t>Cylindrocarpon lichenicola</t>
  </si>
  <si>
    <t>Human eye</t>
  </si>
  <si>
    <t>ヒトの目</t>
  </si>
  <si>
    <t>Cephaloascus fragrans</t>
    <phoneticPr fontId="1"/>
  </si>
  <si>
    <t>External acoustic meatus</t>
  </si>
  <si>
    <t>外耳道</t>
  </si>
  <si>
    <t>Diseased nails</t>
  </si>
  <si>
    <t>Emericella parvathecia</t>
  </si>
  <si>
    <t>Trichophyton violaceum</t>
  </si>
  <si>
    <t>Rasamsonia cylindrospora</t>
  </si>
  <si>
    <t>Scedosporium apiospermum</t>
  </si>
  <si>
    <t>Spinal fluid of a patient with purulent meningitis</t>
  </si>
  <si>
    <t>化膿性髄膜炎患者の髄液</t>
  </si>
  <si>
    <t>Penicillium brefeldianum</t>
  </si>
  <si>
    <t>Human alimentary tract</t>
  </si>
  <si>
    <t>ヒトの消化管</t>
  </si>
  <si>
    <t>Gymnoascus demonbreunii</t>
  </si>
  <si>
    <t>Ascotricha chartarum</t>
  </si>
  <si>
    <t>Human lesions</t>
  </si>
  <si>
    <t>Cerinosterus cyanescens</t>
  </si>
  <si>
    <t>Feces of breast-fed infant</t>
  </si>
  <si>
    <t>Nocardia inohanensis</t>
  </si>
  <si>
    <t>Nocardia asiatica</t>
  </si>
  <si>
    <t>Nocardia yamanashiensis</t>
  </si>
  <si>
    <t>Nocardia niigatensis</t>
  </si>
  <si>
    <t>Nocardia higoensis</t>
  </si>
  <si>
    <t>Nocardia araoensis</t>
  </si>
  <si>
    <t>Nocardia pneumoniae</t>
  </si>
  <si>
    <t>Nocardia arthritidis</t>
  </si>
  <si>
    <t>Nocardia veterana</t>
  </si>
  <si>
    <t>Bronchoscopic lavage</t>
  </si>
  <si>
    <t>気管支鏡検査洗浄液</t>
  </si>
  <si>
    <t>Nocardia sienata</t>
  </si>
  <si>
    <t>Nocardia testacea</t>
  </si>
  <si>
    <t>Tissue specimen of a 46 year-old woman suffering from peritoneal carcinomatosis following carcimone of the colon</t>
  </si>
  <si>
    <t>ヒトの臨床検体</t>
  </si>
  <si>
    <t>Nocardia paucivorans</t>
  </si>
  <si>
    <t>Nocardia abscessus</t>
  </si>
  <si>
    <t>Joint abscess of a 56 year old man with a complete endoprosthesis of one of his knees</t>
  </si>
  <si>
    <t>ヒトの関節膿瘍</t>
  </si>
  <si>
    <t>Nocardia cyriacigeorgica</t>
  </si>
  <si>
    <t>Bronchial secretions</t>
  </si>
  <si>
    <t>Nocardia africana</t>
  </si>
  <si>
    <t>Sputa from patient</t>
  </si>
  <si>
    <t>ヒト（患者）の唾液</t>
  </si>
  <si>
    <t>Gordonia sputi</t>
  </si>
  <si>
    <t>Corynebacterium imitans</t>
  </si>
  <si>
    <t>Human nasopharynx of 5-month-old boy</t>
  </si>
  <si>
    <t>ヒトの鼻咽腔</t>
  </si>
  <si>
    <t>Hormographiella verticillata</t>
  </si>
  <si>
    <t>Cerebre-spinal fluid catheter</t>
  </si>
  <si>
    <t>脳脊髄液用カテーテル</t>
  </si>
  <si>
    <t>Gordonia otitidis</t>
  </si>
  <si>
    <t>Nocardia vermiculata</t>
  </si>
  <si>
    <t>Nocardia thailandica</t>
  </si>
  <si>
    <t>Nocardia aobensis</t>
  </si>
  <si>
    <t>Nocardia concava</t>
  </si>
  <si>
    <t>Gordonia effusa</t>
  </si>
  <si>
    <t>Gordonia araii</t>
  </si>
  <si>
    <t>Nocardia anaemiae</t>
  </si>
  <si>
    <t>Enterococcus avium</t>
  </si>
  <si>
    <t>Human faeces</t>
  </si>
  <si>
    <t>Enterococcus raffinosus</t>
  </si>
  <si>
    <t>Tetragenococcus solitarius</t>
  </si>
  <si>
    <t>Ear exudate</t>
  </si>
  <si>
    <t>耳の浸出液</t>
  </si>
  <si>
    <t>Enterococcus faecium</t>
  </si>
  <si>
    <t>Healthy human feces</t>
  </si>
  <si>
    <t>Nocardia exalbida</t>
  </si>
  <si>
    <t>A bronchoalveolar lavage of a 43-year-old immunocompromised patient with lung abscess</t>
  </si>
  <si>
    <t>免疫不全患者の肺の洗浄液</t>
  </si>
  <si>
    <t>Enterococcus dispar</t>
  </si>
  <si>
    <t>Human clinical source</t>
  </si>
  <si>
    <t>Enterococcus casseliflavus</t>
  </si>
  <si>
    <t>Sepsis in diabetic patient</t>
  </si>
  <si>
    <t>糖尿病患者</t>
  </si>
  <si>
    <t>Enterococcus gilvus</t>
  </si>
  <si>
    <t>Human bile, cholecystitis</t>
  </si>
  <si>
    <t>胆嚢炎患者の胆汁</t>
  </si>
  <si>
    <t>Enterococcus pallens</t>
  </si>
  <si>
    <t>ヒトの腹腔の透析液</t>
  </si>
  <si>
    <t>Nocardia terpenica</t>
  </si>
  <si>
    <t>Human, sputum</t>
  </si>
  <si>
    <t>Cephalotheca foveolata</t>
  </si>
  <si>
    <t>A patient with subcutaneous fungal infection</t>
  </si>
  <si>
    <t>真菌症の患者</t>
  </si>
  <si>
    <t>Human pleural fluid</t>
  </si>
  <si>
    <t>ヒトの胸腔内液</t>
  </si>
  <si>
    <t>Nocardia kruczakiae</t>
  </si>
  <si>
    <t>Lung biopsy specimen</t>
  </si>
  <si>
    <t>肺生検の検体</t>
  </si>
  <si>
    <t>Malassezia furfur</t>
  </si>
  <si>
    <t>Skin, human</t>
  </si>
  <si>
    <t>Malassezia globosa</t>
  </si>
  <si>
    <t>Malassezia japonica</t>
  </si>
  <si>
    <t>Neosartorya udagawae</t>
  </si>
  <si>
    <t>Japanese patient</t>
  </si>
  <si>
    <t>ヒト（日本人の患者）</t>
  </si>
  <si>
    <t>Staphylococcus aureus</t>
  </si>
  <si>
    <t>Human clinical specimen</t>
  </si>
  <si>
    <t>Boils of patients</t>
  </si>
  <si>
    <t>おでき</t>
  </si>
  <si>
    <t>Dietzia cinnamea</t>
  </si>
  <si>
    <t>Perianal swab of a patient with bonmarrow transplantation</t>
  </si>
  <si>
    <t>骨髄移植患者の肛門周辺スワブ検体</t>
  </si>
  <si>
    <t>Psychrobacter phenylpyruvicus</t>
  </si>
  <si>
    <t>Moraxella lacunata</t>
  </si>
  <si>
    <t>Conjunctivitis</t>
  </si>
  <si>
    <t>結膜炎</t>
  </si>
  <si>
    <t>Saliva</t>
  </si>
  <si>
    <t>Cronobacter sakazakii</t>
  </si>
  <si>
    <t>Child's throat</t>
  </si>
  <si>
    <t>子供の喉</t>
  </si>
  <si>
    <t>Escherichia fergusonii</t>
  </si>
  <si>
    <t>Feces of human (one-year-old boy)</t>
  </si>
  <si>
    <t>Achromobacter piechaudii</t>
    <phoneticPr fontId="1"/>
  </si>
  <si>
    <t>Pharyngeal swab</t>
    <phoneticPr fontId="1"/>
  </si>
  <si>
    <t>咽頭のスワブ検体</t>
  </si>
  <si>
    <t>Kluyvera ascorbata</t>
  </si>
  <si>
    <t>Pantoea agglomerans</t>
  </si>
  <si>
    <t>Knee laceration</t>
    <phoneticPr fontId="1"/>
  </si>
  <si>
    <t>膝の裂傷</t>
  </si>
  <si>
    <t>Hyphomonas polymorpha</t>
  </si>
  <si>
    <t>Nasal sinus of human</t>
  </si>
  <si>
    <t>ヒトの鼻洞</t>
  </si>
  <si>
    <t>Ralstonia pickettii</t>
  </si>
  <si>
    <t>Patient who had undergone tracheotomy</t>
  </si>
  <si>
    <t>気管切開手術を受けた患者</t>
  </si>
  <si>
    <t>Nocardiopsis synnemataformans</t>
  </si>
  <si>
    <t>Sputum of 35-years-old Turkish patient who received a renal transplant</t>
  </si>
  <si>
    <t>腎臓移植を受けた患者の唾液・痰</t>
  </si>
  <si>
    <t>Klebsiella oxytoca</t>
  </si>
  <si>
    <t>Pharyngeal tonsil</t>
  </si>
  <si>
    <t>咽頭扁桃</t>
  </si>
  <si>
    <t>Serratia odorifera</t>
  </si>
  <si>
    <t>Microbacterium paraoxydans</t>
  </si>
  <si>
    <t>Blood of a child with acute lymphoblastic leukemia</t>
  </si>
  <si>
    <t>急性リンパ性白血病の子供の血液</t>
  </si>
  <si>
    <t>Microbacterium resistens</t>
  </si>
  <si>
    <t>Corneal ulcer of a 14 year-old female</t>
  </si>
  <si>
    <t>角膜潰瘍</t>
  </si>
  <si>
    <t>Pseudomonas luteola</t>
  </si>
  <si>
    <t>Vibrio fluvialis</t>
  </si>
  <si>
    <t>Pseudomonas monteilii</t>
  </si>
  <si>
    <t>Human, bronchial aspirate</t>
  </si>
  <si>
    <t>ヒトの気管支の吸引液</t>
  </si>
  <si>
    <t>Trichosporon faecale</t>
  </si>
  <si>
    <t>Trichosporon jirovecii</t>
  </si>
  <si>
    <t>Toe nail of man</t>
  </si>
  <si>
    <t>ヒトの足の爪</t>
  </si>
  <si>
    <t>Trichosporon domesticum</t>
  </si>
  <si>
    <t>Malassezia restricta</t>
  </si>
  <si>
    <t>Healthy skin of human</t>
  </si>
  <si>
    <t>Cellulosimicrobium funkei</t>
  </si>
  <si>
    <t>Blood of an endocarditis patient</t>
  </si>
  <si>
    <t>心内膜炎患者の血液</t>
  </si>
  <si>
    <t>Dietzia papillomatosis</t>
  </si>
  <si>
    <t>Skin scraping of an immunocompetent patient with confluent and reticulated papillomatosis</t>
  </si>
  <si>
    <t>乳頭腫症患者の擦過傷</t>
  </si>
  <si>
    <t>Basidiobolus ranarum</t>
  </si>
  <si>
    <t>Hypodermic granuloma patient</t>
  </si>
  <si>
    <t>皮下肉芽腫のある患者</t>
  </si>
  <si>
    <t>Nose of a patient</t>
  </si>
  <si>
    <t>ヒト（患者）の鼻</t>
  </si>
  <si>
    <t>Nose</t>
  </si>
  <si>
    <t>鼻</t>
  </si>
  <si>
    <t>Providencia alcalifaciens</t>
  </si>
  <si>
    <t>Feces</t>
  </si>
  <si>
    <t>Edwardsiella tarda</t>
  </si>
  <si>
    <t>Cedecea davisae</t>
  </si>
  <si>
    <t>Escherichia hermannii</t>
  </si>
  <si>
    <t>Toe of 17-year-old female</t>
  </si>
  <si>
    <t>爪先</t>
  </si>
  <si>
    <t>Proteus penneri</t>
  </si>
  <si>
    <t>Pluralibacter gergoviae</t>
  </si>
  <si>
    <t>Cedecea neteri</t>
  </si>
  <si>
    <t>Human foot</t>
  </si>
  <si>
    <t>ヒトの足</t>
  </si>
  <si>
    <t>Enterobacter cancerogenus</t>
  </si>
  <si>
    <t>Human arm wound</t>
  </si>
  <si>
    <t>ヒトの腕の傷</t>
  </si>
  <si>
    <t>Yersinia bercovieri</t>
  </si>
  <si>
    <t>Enterobacter hormaechei</t>
  </si>
  <si>
    <t>Citrobacter werkmanii</t>
  </si>
  <si>
    <t>Citrobacter sedlakii</t>
  </si>
  <si>
    <t>Human feces (food poisoning in man)</t>
  </si>
  <si>
    <t>ヒトの糞便（食中毒患者）</t>
  </si>
  <si>
    <t>Raoultella ornithinolytica</t>
  </si>
  <si>
    <t>Streptococcus mitis</t>
  </si>
  <si>
    <t>Human oral cavity</t>
  </si>
  <si>
    <t>ヒトの口腔</t>
  </si>
  <si>
    <t>Basidiobolus haptosporus</t>
  </si>
  <si>
    <t>Male (4-years-old)</t>
  </si>
  <si>
    <t>ヒト（4歳男児）</t>
  </si>
  <si>
    <t>Streptococcus oligofermentans</t>
  </si>
  <si>
    <t>Caries-free human</t>
  </si>
  <si>
    <t>ヒト（う歯の無いヒト）</t>
  </si>
  <si>
    <t>Actinomadura chibensis</t>
  </si>
  <si>
    <t>Turicella otitidis</t>
  </si>
  <si>
    <t>Human, middle ear effusion</t>
  </si>
  <si>
    <t>ヒトの中耳滲出液</t>
  </si>
  <si>
    <t>Dermabacter hominis</t>
  </si>
  <si>
    <t>Branchiibius cervicis</t>
  </si>
  <si>
    <t xml:space="preserve">Facial acne </t>
  </si>
  <si>
    <t>顔のニキビ</t>
  </si>
  <si>
    <t>Escherichia albertii</t>
  </si>
  <si>
    <t>Stool from diarrhoeal child</t>
  </si>
  <si>
    <t>下痢を患った子供の糞便</t>
  </si>
  <si>
    <t>Arthrobacter woluwensis</t>
  </si>
  <si>
    <t>Arthrobacter luteolus</t>
  </si>
  <si>
    <t>Human surgical wound</t>
  </si>
  <si>
    <t>ヒトの手術痕</t>
  </si>
  <si>
    <t>Bordetella pertussis</t>
  </si>
  <si>
    <t>Patient suffering from whooping cough</t>
  </si>
  <si>
    <t>百日咳患者</t>
  </si>
  <si>
    <t>Human stomach</t>
  </si>
  <si>
    <t>ヒトの胃</t>
  </si>
  <si>
    <t>Human saliva</t>
  </si>
  <si>
    <t>ヒトの唾液</t>
  </si>
  <si>
    <t>Gordonia aichiensis</t>
  </si>
  <si>
    <t>Nocardia pseudobrasiliensis</t>
  </si>
  <si>
    <t>Leg abscess</t>
  </si>
  <si>
    <t>脚の膿瘍</t>
  </si>
  <si>
    <t>Nocardia puris</t>
  </si>
  <si>
    <t>Human abscess</t>
  </si>
  <si>
    <t>ヒトの膿瘍</t>
  </si>
  <si>
    <t>Nocardia elegans</t>
  </si>
  <si>
    <t>Sputum of a patient with a pulmonary infection</t>
  </si>
  <si>
    <t>肺感染症患者の唾液・痰</t>
  </si>
  <si>
    <t>Nocardia mexicana</t>
  </si>
  <si>
    <t>Pus samples of Mexican patients with mycetomas</t>
  </si>
  <si>
    <t>菌腫に罹患した患者の膿</t>
  </si>
  <si>
    <t>Nocardia ninae</t>
  </si>
  <si>
    <t xml:space="preserve">Bronchial aspirate of a 53-year old patient </t>
  </si>
  <si>
    <t>ヒトの気管支吸引液</t>
  </si>
  <si>
    <t>Bacillus sporothermodurans</t>
  </si>
  <si>
    <t>Finger of human</t>
  </si>
  <si>
    <t>ヒトの指</t>
  </si>
  <si>
    <t>Nocardia mikamii</t>
  </si>
  <si>
    <t>Clinical respiratory source</t>
    <phoneticPr fontId="1"/>
  </si>
  <si>
    <t>呼吸器の臨床検体</t>
  </si>
  <si>
    <t>Nocardia niwae</t>
  </si>
  <si>
    <t>Lung tissue of a 60-year-old male</t>
  </si>
  <si>
    <t>肺検体</t>
  </si>
  <si>
    <t>Nocardia arizonensis</t>
  </si>
  <si>
    <t>Bronchial wash from a 77 year-old female patient</t>
  </si>
  <si>
    <t>ヒトの気管支洗浄液</t>
  </si>
  <si>
    <t>Nocardia vulneris</t>
  </si>
  <si>
    <t>54-male patient with a leg wound</t>
  </si>
  <si>
    <t>Nocardia amikacinitolerans</t>
  </si>
  <si>
    <t>Eye of a 12-year-old girl</t>
  </si>
  <si>
    <t>12歳少女の目</t>
  </si>
  <si>
    <t>Basidiobolomycosis (creeping granuloma) of man (child)</t>
  </si>
  <si>
    <t>ヒトの肉芽腫</t>
  </si>
  <si>
    <t>Exophiala hongkongensis</t>
  </si>
  <si>
    <t>Human clinical sample</t>
  </si>
  <si>
    <t>Escherichia coli phage Qβ</t>
  </si>
  <si>
    <t>Escherichia coli phage FI</t>
  </si>
  <si>
    <t>Nocardia shinanonensis</t>
  </si>
  <si>
    <t>Aqueous humor of a patient with endophthalmitis</t>
  </si>
  <si>
    <t>眼内炎患者の眼房水</t>
  </si>
  <si>
    <t>Staphylococcus simulans</t>
  </si>
  <si>
    <t>Acinetobacter haemolyticus</t>
    <phoneticPr fontId="1"/>
  </si>
  <si>
    <t>Acinetobacter junii</t>
  </si>
  <si>
    <t>Staphylococcus haemolyticus</t>
  </si>
  <si>
    <t>Staphylococcus warneri</t>
  </si>
  <si>
    <t>Staphylococcus xylosus</t>
  </si>
  <si>
    <t>Hongkongmyces pedis</t>
  </si>
  <si>
    <t>Enterobacter asburiae</t>
  </si>
  <si>
    <t>Human, lochia exudate</t>
  </si>
  <si>
    <t>ヒトの悪露</t>
  </si>
  <si>
    <t>Ezakiella peruensis</t>
  </si>
  <si>
    <t>Human fecal sample</t>
  </si>
  <si>
    <t>Phialemoniopsis hongkongensis</t>
  </si>
  <si>
    <t>Human clinical sample (arm nodule)</t>
  </si>
  <si>
    <t>ヒトの臨床検体（腕のこぶ）</t>
  </si>
  <si>
    <t>Acinetobacter baumannii</t>
  </si>
  <si>
    <t>Bronchial aspirate</t>
  </si>
  <si>
    <t>気管支吸引液</t>
  </si>
  <si>
    <t>Human urine</t>
  </si>
  <si>
    <t>Burned skin</t>
  </si>
  <si>
    <t>火傷した皮膚</t>
  </si>
  <si>
    <t>Acinetobacter nosocomialis</t>
  </si>
  <si>
    <t>Abscess</t>
  </si>
  <si>
    <t>膿瘍</t>
  </si>
  <si>
    <t>Acinetobacter pittii</t>
  </si>
  <si>
    <t>Pharyngitis</t>
  </si>
  <si>
    <t>咽頭炎患部</t>
  </si>
  <si>
    <t>Acinetobacter ursingii</t>
  </si>
  <si>
    <t>Aspergillus hongkongensis</t>
  </si>
  <si>
    <t>Human clinical sample (big toe nail)</t>
  </si>
  <si>
    <t>ヒトの臨床検体（足の親指の爪）</t>
  </si>
  <si>
    <t>Cellulomonas denverensis</t>
  </si>
  <si>
    <t>Microbacterium binotii</t>
  </si>
  <si>
    <t>Sedimentibacter hongkongensis</t>
  </si>
  <si>
    <t>Human blood culture</t>
  </si>
  <si>
    <t>ヒト（血液培養）</t>
  </si>
  <si>
    <t>Anaerospora hongkongensis</t>
  </si>
  <si>
    <t>Human pharyngitis</t>
  </si>
  <si>
    <t>ヒトの咽頭炎患部</t>
  </si>
  <si>
    <t>Human bronchial lavage fluid</t>
  </si>
  <si>
    <t>ヒトの気管支肺胞洗浄液</t>
  </si>
  <si>
    <t>Human eye discharge</t>
  </si>
  <si>
    <t>ヒトの目やに</t>
  </si>
  <si>
    <t>Gordonia hongkongensis</t>
  </si>
  <si>
    <t>Blood culture of a patient with bacteremia</t>
  </si>
  <si>
    <t>Peritoneal dialysis effluent of a patient</t>
  </si>
  <si>
    <t>腹膜透析の溶出物</t>
  </si>
  <si>
    <t>Moraxella osloensis</t>
  </si>
  <si>
    <t xml:space="preserve">Human cerebrospinal fluid </t>
  </si>
  <si>
    <t>ヒトの脳脊髄液</t>
  </si>
  <si>
    <t>Micrococcus antarcticus</t>
  </si>
  <si>
    <t>Facial skin of a 35-year-old man</t>
  </si>
  <si>
    <t>顔の皮膚</t>
  </si>
  <si>
    <t>Micrococcus luteus</t>
  </si>
  <si>
    <t>Micrococcus aloeverae</t>
  </si>
  <si>
    <t>Facial keratotic plugs of a 35-year-old man</t>
  </si>
  <si>
    <t>顔の角栓</t>
  </si>
  <si>
    <t>Facial acne of a 35-year-old man</t>
  </si>
  <si>
    <t>Cutibacterium granulosum</t>
  </si>
  <si>
    <t>Parengyodontium album</t>
  </si>
  <si>
    <t>Skin lesion biopsy of human right shin</t>
  </si>
  <si>
    <t>ヒトのすねの皮膚病変生検</t>
  </si>
  <si>
    <t>Faeces from baby</t>
  </si>
  <si>
    <t>赤ちゃんの糞便</t>
  </si>
  <si>
    <t>Japanese male stomach</t>
  </si>
  <si>
    <t>Acinetobacter beijerinckii</t>
  </si>
  <si>
    <t>Acinetobacter gyllenbergii</t>
  </si>
  <si>
    <t>Acinetobacter parvus</t>
  </si>
  <si>
    <t>中耳炎患者の耳</t>
  </si>
  <si>
    <t>Acinetobacter schindleri</t>
  </si>
  <si>
    <t>Urine of a male outpatient with cystitis</t>
  </si>
  <si>
    <t>膀胱炎患者の尿</t>
  </si>
  <si>
    <t>Blood of female with endocarditis</t>
  </si>
  <si>
    <t>Human wound pus</t>
  </si>
  <si>
    <t>ヒトの傷の膿</t>
  </si>
  <si>
    <t>Mycobacterium intracellulare</t>
  </si>
  <si>
    <t>Human tracheal lavage fluid</t>
  </si>
  <si>
    <t>ヒトの気管の洗浄液</t>
  </si>
  <si>
    <t>Mycobacterium kansasii</t>
  </si>
  <si>
    <t>Blood culture of endocarditis patient</t>
  </si>
  <si>
    <t>心内膜炎患者の血液培養物</t>
  </si>
  <si>
    <t>Human caries-free tooth surface</t>
  </si>
  <si>
    <t>ヒトの歯</t>
  </si>
  <si>
    <t>Bacteroides uniformis</t>
  </si>
  <si>
    <t>Bifidobacterium pseudocatenulatum</t>
  </si>
  <si>
    <t>Luteimonas pekinense</t>
  </si>
  <si>
    <t>Human meibomian gland secretions</t>
  </si>
  <si>
    <t>ヒトの瞼板腺の分泌物</t>
  </si>
  <si>
    <t>Corynebacterium kroppenstedtii</t>
  </si>
  <si>
    <t>Corynebacterium mucifaciens</t>
  </si>
  <si>
    <t>Corynebacterium tuscaniae</t>
  </si>
  <si>
    <t>Kocuria marina</t>
  </si>
  <si>
    <t>Cutibacterium avidum</t>
  </si>
  <si>
    <t>Staphylococcus pasteuri</t>
  </si>
  <si>
    <t>Corynebacterium pseudogenitalium</t>
  </si>
  <si>
    <t>Malassezia sympodialis</t>
  </si>
  <si>
    <t>Ear of man</t>
  </si>
  <si>
    <t>Finegoldia magna</t>
  </si>
  <si>
    <t>Flavonifractor plautii</t>
  </si>
  <si>
    <t>Parabacteroides distasonis</t>
  </si>
  <si>
    <t>Corynebacterium glucuronolyticum</t>
  </si>
  <si>
    <t>Human skin (cheek) of 40s-year-old male</t>
  </si>
  <si>
    <t>Human skin (glabella) of 30s-year-old female</t>
  </si>
  <si>
    <t>Corynebacterium gottingense</t>
  </si>
  <si>
    <t>Human skin (palm) of 40s-year-old male</t>
  </si>
  <si>
    <t>Corynebacterium pilbarense</t>
  </si>
  <si>
    <t>Corynebacterium tuberculostearicum</t>
  </si>
  <si>
    <t>Human skin (toe web space) of 30s-year-old female</t>
  </si>
  <si>
    <t>Human skin (toe web space) of 40s-year-old male</t>
  </si>
  <si>
    <t>Corynebacterium ureicelerivorans</t>
  </si>
  <si>
    <t>Human skin (knee) of 40s-year-old male</t>
  </si>
  <si>
    <t>Human skin (back) of 40s-year-old male</t>
  </si>
  <si>
    <t>Human skin (cheek) of 30s-year-old female</t>
  </si>
  <si>
    <t>Human skin (chin) of 40s-year-old male</t>
  </si>
  <si>
    <t>Human skin (nare) of 30s-year-old female</t>
  </si>
  <si>
    <t>Human skin (chin) of 30s-year-old female</t>
  </si>
  <si>
    <t>Human skin (nare) of 40s-year-old male</t>
  </si>
  <si>
    <t>Human skin (axillary vault) of 40s-year-old male</t>
  </si>
  <si>
    <t>Human skin (plantar heel) of 30s-year-old female</t>
  </si>
  <si>
    <t>Staphylococcus caprae</t>
  </si>
  <si>
    <t>Human skin (plantar heel) of 40s-year-old male</t>
  </si>
  <si>
    <t>Staphylococcus epidermidis</t>
  </si>
  <si>
    <t>Staphylococcus pettenkoferi</t>
  </si>
  <si>
    <t>Brachybacterium paraconglomeratum</t>
  </si>
  <si>
    <t>Tessaracoccus arenae</t>
  </si>
  <si>
    <t>Human skin (plantar heel)of 40s-year-old male</t>
  </si>
  <si>
    <t>Micrococcus yunnanensis</t>
  </si>
  <si>
    <t>Human skin (elbow) of 40s-year-old male</t>
  </si>
  <si>
    <t>細菌</t>
    <rPh sb="0" eb="2">
      <t>サイキン</t>
    </rPh>
    <phoneticPr fontId="1"/>
  </si>
  <si>
    <t>糸状菌</t>
    <rPh sb="0" eb="3">
      <t>シジョウキン</t>
    </rPh>
    <phoneticPr fontId="1"/>
  </si>
  <si>
    <t>酵母</t>
    <rPh sb="0" eb="2">
      <t>コウボ</t>
    </rPh>
    <phoneticPr fontId="1"/>
  </si>
  <si>
    <t>バクテリオファージ</t>
    <phoneticPr fontId="1"/>
  </si>
  <si>
    <t>Type</t>
    <phoneticPr fontId="1"/>
  </si>
  <si>
    <t>学名</t>
  </si>
  <si>
    <t>生物群</t>
  </si>
  <si>
    <t>分類学的基準株</t>
  </si>
  <si>
    <t>分離源</t>
  </si>
  <si>
    <r>
      <t xml:space="preserve">Morganella morganii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morganii</t>
    </r>
    <phoneticPr fontId="1"/>
  </si>
  <si>
    <r>
      <t xml:space="preserve">Mycobacterium fortuitum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fortuitum</t>
    </r>
    <phoneticPr fontId="1"/>
  </si>
  <si>
    <r>
      <t xml:space="preserve">Staphylococcus aureus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aureus</t>
    </r>
    <phoneticPr fontId="1"/>
  </si>
  <si>
    <r>
      <t xml:space="preserve">Lentzea albidocapillata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albidocapillata</t>
    </r>
    <phoneticPr fontId="1"/>
  </si>
  <si>
    <r>
      <t xml:space="preserve">Staphylococcus saprophyticus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saprophyticus</t>
    </r>
    <phoneticPr fontId="1"/>
  </si>
  <si>
    <r>
      <t xml:space="preserve">Klebsiella pneumoniae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rhinoscleromatis</t>
    </r>
    <phoneticPr fontId="1"/>
  </si>
  <si>
    <r>
      <t xml:space="preserve">Klebsiella pneumoniae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ozaenae</t>
    </r>
    <phoneticPr fontId="1"/>
  </si>
  <si>
    <r>
      <t xml:space="preserve">Yersinia enterocolitica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enterocolitica</t>
    </r>
    <phoneticPr fontId="1"/>
  </si>
  <si>
    <r>
      <t xml:space="preserve">Salmonella enterica </t>
    </r>
    <r>
      <rPr>
        <sz val="11"/>
        <color theme="1"/>
        <rFont val="Meiryo UI"/>
        <family val="3"/>
        <charset val="128"/>
      </rPr>
      <t>subsp. e</t>
    </r>
    <r>
      <rPr>
        <i/>
        <sz val="11"/>
        <color theme="1"/>
        <rFont val="Meiryo UI"/>
        <family val="3"/>
        <charset val="128"/>
      </rPr>
      <t>nterica</t>
    </r>
    <phoneticPr fontId="1"/>
  </si>
  <si>
    <r>
      <t xml:space="preserve">Cutibacterium acnes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acnes</t>
    </r>
    <phoneticPr fontId="1"/>
  </si>
  <si>
    <r>
      <t xml:space="preserve">Staphylococcus cohnii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cohnii</t>
    </r>
    <phoneticPr fontId="1"/>
  </si>
  <si>
    <r>
      <t xml:space="preserve">Staphylococcus cohnii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urealyticus</t>
    </r>
    <phoneticPr fontId="1"/>
  </si>
  <si>
    <r>
      <t xml:space="preserve">Serratia marcescens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marcescens</t>
    </r>
    <phoneticPr fontId="1"/>
  </si>
  <si>
    <r>
      <t xml:space="preserve">Staphylococcus hominis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hominis</t>
    </r>
    <phoneticPr fontId="1"/>
  </si>
  <si>
    <r>
      <t>Mycobacterium abscessus</t>
    </r>
    <r>
      <rPr>
        <sz val="11"/>
        <color theme="1"/>
        <rFont val="Meiryo UI"/>
        <family val="3"/>
        <charset val="128"/>
      </rPr>
      <t xml:space="preserve"> subsp. </t>
    </r>
    <r>
      <rPr>
        <i/>
        <sz val="11"/>
        <color theme="1"/>
        <rFont val="Meiryo UI"/>
        <family val="3"/>
        <charset val="128"/>
      </rPr>
      <t>abscessus</t>
    </r>
    <phoneticPr fontId="1"/>
  </si>
  <si>
    <r>
      <t xml:space="preserve">Mycobacterium chelonae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chelonae</t>
    </r>
    <phoneticPr fontId="1"/>
  </si>
  <si>
    <r>
      <t xml:space="preserve">Streptococcus oralis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oralis</t>
    </r>
    <phoneticPr fontId="1"/>
  </si>
  <si>
    <r>
      <t xml:space="preserve">Streptococcus oralis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tigurinus</t>
    </r>
    <phoneticPr fontId="1"/>
  </si>
  <si>
    <r>
      <t xml:space="preserve">Streptococcus oralis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dentisani</t>
    </r>
    <phoneticPr fontId="1"/>
  </si>
  <si>
    <r>
      <t xml:space="preserve">Staphylococcus hominis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novobiosepticus</t>
    </r>
    <phoneticPr fontId="1"/>
  </si>
  <si>
    <r>
      <t xml:space="preserve">Staphylococcus petrasii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croceilyticus</t>
    </r>
    <phoneticPr fontId="1"/>
  </si>
  <si>
    <r>
      <t>Streptococcus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</si>
  <si>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r>
      <t>Acinetobacter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</si>
  <si>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r>
      <t>Pseudomonas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</si>
  <si>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r>
      <t>Corynebacterium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</si>
  <si>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r>
      <t>Staphylococcus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</si>
  <si>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t>Outer ear infection</t>
    <phoneticPr fontId="1"/>
  </si>
  <si>
    <t>外耳感染症患部</t>
    <rPh sb="5" eb="7">
      <t>カンブ</t>
    </rPh>
    <phoneticPr fontId="1"/>
  </si>
  <si>
    <t>夏季下痢を患った患者</t>
    <phoneticPr fontId="1"/>
  </si>
  <si>
    <t>Human dysentery</t>
    <phoneticPr fontId="1"/>
  </si>
  <si>
    <t>赤痢患者</t>
    <phoneticPr fontId="1"/>
  </si>
  <si>
    <t>Human urinary tract infection</t>
    <phoneticPr fontId="1"/>
  </si>
  <si>
    <t>ヒトの尿路感染患部</t>
    <phoneticPr fontId="1"/>
  </si>
  <si>
    <t>Human sputum</t>
    <phoneticPr fontId="1"/>
  </si>
  <si>
    <t>Human tissue (glanders-like infection of the face)</t>
    <phoneticPr fontId="1"/>
  </si>
  <si>
    <t>鼻疽のような感染患部</t>
    <rPh sb="0" eb="2">
      <t>ビソ</t>
    </rPh>
    <rPh sb="6" eb="8">
      <t>カンセン</t>
    </rPh>
    <rPh sb="8" eb="10">
      <t>カンブ</t>
    </rPh>
    <phoneticPr fontId="1"/>
  </si>
  <si>
    <t>Mycosis of human skin</t>
    <phoneticPr fontId="1"/>
  </si>
  <si>
    <t>皮膚の真菌感染患部</t>
    <rPh sb="5" eb="7">
      <t>カンセン</t>
    </rPh>
    <phoneticPr fontId="1"/>
  </si>
  <si>
    <r>
      <rPr>
        <i/>
        <sz val="11"/>
        <color theme="1"/>
        <rFont val="Meiryo UI"/>
        <family val="3"/>
        <charset val="128"/>
      </rPr>
      <t>Helicobacter pylori-</t>
    </r>
    <r>
      <rPr>
        <sz val="11"/>
        <color theme="1"/>
        <rFont val="Meiryo UI"/>
        <family val="3"/>
        <charset val="128"/>
      </rPr>
      <t>positive human stomach of Japanese male</t>
    </r>
    <phoneticPr fontId="1"/>
  </si>
  <si>
    <r>
      <t xml:space="preserve">Ear of patient with </t>
    </r>
    <r>
      <rPr>
        <i/>
        <sz val="11"/>
        <color theme="1"/>
        <rFont val="Meiryo UI"/>
        <family val="3"/>
        <charset val="128"/>
      </rPr>
      <t>Otitis media</t>
    </r>
    <phoneticPr fontId="1"/>
  </si>
  <si>
    <t>感染症に罹患したヒト</t>
    <rPh sb="0" eb="3">
      <t>カンセンショウ</t>
    </rPh>
    <rPh sb="4" eb="6">
      <t>リカン</t>
    </rPh>
    <phoneticPr fontId="1"/>
  </si>
  <si>
    <r>
      <t xml:space="preserve">Emericella nidulans </t>
    </r>
    <r>
      <rPr>
        <sz val="11"/>
        <color theme="1"/>
        <rFont val="Meiryo UI"/>
        <family val="3"/>
        <charset val="128"/>
      </rPr>
      <t xml:space="preserve">var. </t>
    </r>
    <r>
      <rPr>
        <i/>
        <sz val="11"/>
        <color theme="1"/>
        <rFont val="Meiryo UI"/>
        <family val="3"/>
        <charset val="128"/>
      </rPr>
      <t>dentata</t>
    </r>
    <phoneticPr fontId="1"/>
  </si>
  <si>
    <r>
      <t xml:space="preserve">Debaryomyces hansenii </t>
    </r>
    <r>
      <rPr>
        <sz val="11"/>
        <color theme="1"/>
        <rFont val="Meiryo UI"/>
        <family val="3"/>
        <charset val="128"/>
      </rPr>
      <t xml:space="preserve">var. </t>
    </r>
    <r>
      <rPr>
        <i/>
        <sz val="11"/>
        <color theme="1"/>
        <rFont val="Meiryo UI"/>
        <family val="3"/>
        <charset val="128"/>
      </rPr>
      <t>fabryi</t>
    </r>
    <phoneticPr fontId="1"/>
  </si>
  <si>
    <r>
      <t xml:space="preserve">Debaryomyces hansenii </t>
    </r>
    <r>
      <rPr>
        <sz val="11"/>
        <color theme="1"/>
        <rFont val="Meiryo UI"/>
        <family val="3"/>
        <charset val="128"/>
      </rPr>
      <t xml:space="preserve">var. </t>
    </r>
    <r>
      <rPr>
        <i/>
        <sz val="11"/>
        <color theme="1"/>
        <rFont val="Meiryo UI"/>
        <family val="3"/>
        <charset val="128"/>
      </rPr>
      <t>hansenii</t>
    </r>
    <phoneticPr fontId="1"/>
  </si>
  <si>
    <r>
      <t xml:space="preserve">Candida famata </t>
    </r>
    <r>
      <rPr>
        <sz val="11"/>
        <color theme="1"/>
        <rFont val="Meiryo UI"/>
        <family val="3"/>
        <charset val="128"/>
      </rPr>
      <t xml:space="preserve">var. </t>
    </r>
    <r>
      <rPr>
        <i/>
        <sz val="11"/>
        <color theme="1"/>
        <rFont val="Meiryo UI"/>
        <family val="3"/>
        <charset val="128"/>
      </rPr>
      <t>famata</t>
    </r>
    <phoneticPr fontId="1"/>
  </si>
  <si>
    <t>Human faeces</t>
    <phoneticPr fontId="1"/>
  </si>
  <si>
    <t>ヒトの糞便</t>
    <phoneticPr fontId="1"/>
  </si>
  <si>
    <t>嫌気培養を行ってください。</t>
  </si>
  <si>
    <t>嫌気培養を行ってください。</t>
    <phoneticPr fontId="1"/>
  </si>
  <si>
    <t>Bifidobacterium bifidum</t>
    <phoneticPr fontId="1"/>
  </si>
  <si>
    <t xml:space="preserve">Escherichia coli </t>
  </si>
  <si>
    <t>細菌</t>
  </si>
  <si>
    <t>糞便（ヒト糞便か不明）</t>
  </si>
  <si>
    <t>Klebsiella aerogenes</t>
    <phoneticPr fontId="9"/>
  </si>
  <si>
    <t xml:space="preserve">Rhodotorula mucilaginosa </t>
  </si>
  <si>
    <t>酵母</t>
  </si>
  <si>
    <t xml:space="preserve">L2 </t>
  </si>
  <si>
    <t>L1*</t>
  </si>
  <si>
    <t>Dolosigranulum pigrum</t>
    <phoneticPr fontId="1"/>
  </si>
  <si>
    <t>培養に関する注意事項</t>
    <phoneticPr fontId="1"/>
  </si>
  <si>
    <t>微好気性です。</t>
    <rPh sb="0" eb="1">
      <t>ビ</t>
    </rPh>
    <rPh sb="1" eb="3">
      <t>コウキ</t>
    </rPh>
    <phoneticPr fontId="1"/>
  </si>
  <si>
    <t>通性嫌気性ですが、嫌気培養を行ってください。</t>
    <rPh sb="4" eb="5">
      <t>セイ</t>
    </rPh>
    <phoneticPr fontId="1"/>
  </si>
  <si>
    <t>好気培養を行ってください。</t>
    <rPh sb="0" eb="1">
      <t>コノ</t>
    </rPh>
    <phoneticPr fontId="1"/>
  </si>
  <si>
    <t>ヒトの皮膚</t>
    <rPh sb="3" eb="5">
      <t>ヒフ</t>
    </rPh>
    <phoneticPr fontId="1"/>
  </si>
  <si>
    <t>Human Skin (individual I)</t>
    <phoneticPr fontId="1"/>
  </si>
  <si>
    <t>細菌</t>
    <phoneticPr fontId="1"/>
  </si>
  <si>
    <t>RD014520</t>
  </si>
  <si>
    <t>RD014519</t>
  </si>
  <si>
    <t>RD014518</t>
  </si>
  <si>
    <t>RD014517</t>
  </si>
  <si>
    <t>RD014516</t>
  </si>
  <si>
    <t>Human Skin (individual J)</t>
    <phoneticPr fontId="1"/>
  </si>
  <si>
    <t>RD014515</t>
  </si>
  <si>
    <t>RD014514</t>
  </si>
  <si>
    <t>RD014513</t>
  </si>
  <si>
    <t>ヒトの唾液</t>
    <rPh sb="3" eb="5">
      <t>ダエキ</t>
    </rPh>
    <phoneticPr fontId="1"/>
  </si>
  <si>
    <t>Human Saliva (individual H)</t>
    <phoneticPr fontId="1"/>
  </si>
  <si>
    <t>RD014544</t>
  </si>
  <si>
    <t>RD014538</t>
  </si>
  <si>
    <t>RD014551</t>
  </si>
  <si>
    <t>RD014548</t>
  </si>
  <si>
    <t>ヒトの歯垢</t>
    <rPh sb="3" eb="5">
      <t>シコウ</t>
    </rPh>
    <phoneticPr fontId="1"/>
  </si>
  <si>
    <t>RD014552</t>
  </si>
  <si>
    <t>Human Feces (individual A)</t>
  </si>
  <si>
    <t>RD014231</t>
  </si>
  <si>
    <t>RD014230</t>
  </si>
  <si>
    <t>RD014229</t>
  </si>
  <si>
    <t>RD014228</t>
  </si>
  <si>
    <t>RD014243</t>
  </si>
  <si>
    <t>Human Feces (individual D)</t>
    <phoneticPr fontId="1"/>
  </si>
  <si>
    <t>RD014525</t>
  </si>
  <si>
    <t>Human Feces (individual E)</t>
    <phoneticPr fontId="1"/>
  </si>
  <si>
    <t>RD014545</t>
  </si>
  <si>
    <t>Human Feces (individual C)</t>
  </si>
  <si>
    <t>RD014257</t>
  </si>
  <si>
    <t>RD014256</t>
  </si>
  <si>
    <t>RD014537</t>
  </si>
  <si>
    <t>RD014202</t>
  </si>
  <si>
    <t>RD014201</t>
  </si>
  <si>
    <t>RD014200</t>
  </si>
  <si>
    <t>RD014199</t>
  </si>
  <si>
    <t>RD014198</t>
  </si>
  <si>
    <t>Human Feces (individual F)</t>
    <phoneticPr fontId="1"/>
  </si>
  <si>
    <t>RD014535</t>
  </si>
  <si>
    <t>RD014241</t>
  </si>
  <si>
    <t>RD014553</t>
  </si>
  <si>
    <t>RD014240</t>
  </si>
  <si>
    <t>RD014238</t>
  </si>
  <si>
    <t>Human Feces (individual G)</t>
    <phoneticPr fontId="1"/>
  </si>
  <si>
    <t>RD014543</t>
  </si>
  <si>
    <t>RD014250</t>
  </si>
  <si>
    <t>Human Feces (individual B)</t>
  </si>
  <si>
    <t>RD014217</t>
  </si>
  <si>
    <t>RD014216</t>
  </si>
  <si>
    <t>RD014215</t>
  </si>
  <si>
    <t>RD014214</t>
  </si>
  <si>
    <t>RD014213</t>
  </si>
  <si>
    <t>RD014212</t>
  </si>
  <si>
    <t>RD014524</t>
  </si>
  <si>
    <t>RD014523</t>
  </si>
  <si>
    <t>RD014522</t>
  </si>
  <si>
    <t>RD014521</t>
  </si>
  <si>
    <t>RD014164</t>
  </si>
  <si>
    <t>RD014163</t>
  </si>
  <si>
    <t>RD014160</t>
  </si>
  <si>
    <t>RD014159</t>
  </si>
  <si>
    <t>RD014158</t>
  </si>
  <si>
    <t>RD014157</t>
  </si>
  <si>
    <t>RD014531</t>
  </si>
  <si>
    <t>RD014529</t>
  </si>
  <si>
    <t>RD014528</t>
  </si>
  <si>
    <t>RD014527</t>
  </si>
  <si>
    <t>RD014526</t>
  </si>
  <si>
    <t>RD014542</t>
  </si>
  <si>
    <t>RD014541</t>
  </si>
  <si>
    <t>RD014540</t>
  </si>
  <si>
    <t>RD014539</t>
  </si>
  <si>
    <t>RD014255</t>
  </si>
  <si>
    <t>RD014254</t>
  </si>
  <si>
    <t>RD014253</t>
  </si>
  <si>
    <t>Human Feces (individual A)</t>
    <phoneticPr fontId="9"/>
  </si>
  <si>
    <t>RD014252</t>
  </si>
  <si>
    <t>RD 番号</t>
  </si>
  <si>
    <t>バイオセーフティレベル
(オンラインカタログ記載内容）</t>
    <phoneticPr fontId="1"/>
  </si>
  <si>
    <t>Human Plaque (individual H)</t>
    <phoneticPr fontId="1"/>
  </si>
  <si>
    <t>16S rDNA配列</t>
    <rPh sb="8" eb="10">
      <t>ハイレツ</t>
    </rPh>
    <phoneticPr fontId="1"/>
  </si>
  <si>
    <t xml:space="preserve">Human peritoneal dialysate  </t>
    <phoneticPr fontId="1"/>
  </si>
  <si>
    <t>ヒト由来微生物株リスト（RD株）</t>
    <rPh sb="14" eb="15">
      <t>カブ</t>
    </rPh>
    <phoneticPr fontId="1"/>
  </si>
  <si>
    <t>ヒト由来微生物株リスト（NBRC株）</t>
    <rPh sb="2" eb="4">
      <t>ユライ</t>
    </rPh>
    <rPh sb="4" eb="7">
      <t>ビセイブツ</t>
    </rPh>
    <rPh sb="7" eb="8">
      <t>カブ</t>
    </rPh>
    <rPh sb="16" eb="17">
      <t>カブ</t>
    </rPh>
    <phoneticPr fontId="1"/>
  </si>
  <si>
    <t>RD014547</t>
    <phoneticPr fontId="1"/>
  </si>
  <si>
    <t>RD014512</t>
    <phoneticPr fontId="1"/>
  </si>
  <si>
    <t>生物種</t>
    <phoneticPr fontId="1"/>
  </si>
  <si>
    <t>分離源</t>
    <phoneticPr fontId="1"/>
  </si>
  <si>
    <t>Source of Isolation</t>
    <phoneticPr fontId="1"/>
  </si>
  <si>
    <t>RD014873</t>
  </si>
  <si>
    <t>RD014874</t>
  </si>
  <si>
    <t>RD014875</t>
  </si>
  <si>
    <t>RD014876</t>
  </si>
  <si>
    <t>RD014877</t>
  </si>
  <si>
    <t>RD014878</t>
  </si>
  <si>
    <t>RD014879</t>
  </si>
  <si>
    <t>RD014880</t>
  </si>
  <si>
    <t>RD014881</t>
  </si>
  <si>
    <t>RD014882</t>
  </si>
  <si>
    <t>RD014883</t>
  </si>
  <si>
    <t>RD014884</t>
  </si>
  <si>
    <t>RD014888</t>
  </si>
  <si>
    <t>RD014890</t>
  </si>
  <si>
    <t>RD014891</t>
  </si>
  <si>
    <t>RD014895</t>
  </si>
  <si>
    <t>RD014898</t>
  </si>
  <si>
    <t>RD014899</t>
  </si>
  <si>
    <t>RD014900</t>
  </si>
  <si>
    <t>RD014901</t>
  </si>
  <si>
    <t>RD014902</t>
  </si>
  <si>
    <t>RD014905</t>
  </si>
  <si>
    <t>RD014906</t>
  </si>
  <si>
    <t>RD014910</t>
  </si>
  <si>
    <t>RD014911</t>
  </si>
  <si>
    <t>ヒトの唾液</t>
    <phoneticPr fontId="1"/>
  </si>
  <si>
    <t>RD014915</t>
  </si>
  <si>
    <t>RD014916</t>
  </si>
  <si>
    <t>RD014917</t>
  </si>
  <si>
    <t>Human Plaque (individual K)</t>
    <phoneticPr fontId="1"/>
  </si>
  <si>
    <t>RD014920</t>
  </si>
  <si>
    <t>RD014921</t>
  </si>
  <si>
    <t>スプルー患者（プエルトリコ）</t>
    <rPh sb="4" eb="6">
      <t>カンジャ</t>
    </rPh>
    <phoneticPr fontId="1"/>
  </si>
  <si>
    <t xml:space="preserve">Case of sprue </t>
    <phoneticPr fontId="1"/>
  </si>
  <si>
    <t>足の角質増殖性病変</t>
    <rPh sb="0" eb="1">
      <t>アシ</t>
    </rPh>
    <rPh sb="2" eb="4">
      <t>カクシツ</t>
    </rPh>
    <rPh sb="4" eb="6">
      <t>ゾウショク</t>
    </rPh>
    <rPh sb="6" eb="7">
      <t>セイ</t>
    </rPh>
    <rPh sb="7" eb="9">
      <t>ビョウヘン</t>
    </rPh>
    <phoneticPr fontId="1"/>
  </si>
  <si>
    <t xml:space="preserve">Hyperkeratotic foot </t>
    <phoneticPr fontId="1"/>
  </si>
  <si>
    <t>Candida catenulata</t>
    <phoneticPr fontId="1"/>
  </si>
  <si>
    <t>ヒトの糞便</t>
    <rPh sb="3" eb="5">
      <t>フンベン</t>
    </rPh>
    <phoneticPr fontId="1"/>
  </si>
  <si>
    <t xml:space="preserve">Human faeces </t>
    <phoneticPr fontId="1"/>
  </si>
  <si>
    <t>Escherichia coli</t>
    <phoneticPr fontId="1"/>
  </si>
  <si>
    <t xml:space="preserve">Akkermansia muciniphila </t>
    <phoneticPr fontId="1"/>
  </si>
  <si>
    <t>Healthy human feces</t>
    <phoneticPr fontId="1"/>
  </si>
  <si>
    <t>ヒトの糞便</t>
    <phoneticPr fontId="1"/>
  </si>
  <si>
    <t>・新規に公開した菌株はリストに網掛けで記載しております。</t>
    <phoneticPr fontId="1"/>
  </si>
  <si>
    <t>L1*</t>
    <phoneticPr fontId="1"/>
  </si>
  <si>
    <t xml:space="preserve">Human skin (axillary vault) of 40s-year-old male </t>
    <phoneticPr fontId="1"/>
  </si>
  <si>
    <t>ヒトの皮膚</t>
    <phoneticPr fontId="1"/>
  </si>
  <si>
    <t>Anaerococcus nagyae</t>
    <phoneticPr fontId="1"/>
  </si>
  <si>
    <t>Bifidobacterium longum</t>
    <phoneticPr fontId="1"/>
  </si>
  <si>
    <t>Anaerostipes caccae</t>
    <phoneticPr fontId="1"/>
  </si>
  <si>
    <t xml:space="preserve">Human feces of healthy pre-obese Japanese male </t>
    <phoneticPr fontId="1"/>
  </si>
  <si>
    <t>Ruminococcus gnavus</t>
    <phoneticPr fontId="1"/>
  </si>
  <si>
    <t xml:space="preserve">Human feces of healthy normal-weight Japanese male </t>
    <phoneticPr fontId="1"/>
  </si>
  <si>
    <t>Eubacterium limosum</t>
    <phoneticPr fontId="1"/>
  </si>
  <si>
    <t xml:space="preserve">Healthy human feces </t>
    <phoneticPr fontId="1"/>
  </si>
  <si>
    <t>Source of Isolation
(オンラインカタログ記載内容）</t>
    <phoneticPr fontId="1"/>
  </si>
  <si>
    <r>
      <t xml:space="preserve">Bifidobacterium longum </t>
    </r>
    <r>
      <rPr>
        <sz val="11"/>
        <color theme="1"/>
        <rFont val="Meiryo UI"/>
        <family val="3"/>
        <charset val="128"/>
      </rPr>
      <t>subsp.</t>
    </r>
    <r>
      <rPr>
        <i/>
        <sz val="11"/>
        <color theme="1"/>
        <rFont val="Meiryo UI"/>
        <family val="3"/>
        <charset val="128"/>
      </rPr>
      <t xml:space="preserve"> longum </t>
    </r>
    <phoneticPr fontId="1"/>
  </si>
  <si>
    <t>Human feces (healthy pre-obese Japanese male in his late 50s)</t>
    <phoneticPr fontId="1"/>
  </si>
  <si>
    <t>Megamonas funiformis</t>
    <phoneticPr fontId="1"/>
  </si>
  <si>
    <t>Human feces of healthy normal-weight Thai male</t>
  </si>
  <si>
    <t>Naganishia albida</t>
    <phoneticPr fontId="1"/>
  </si>
  <si>
    <t>Cutaneotrichosporon curvatum</t>
    <phoneticPr fontId="1"/>
  </si>
  <si>
    <t>Papiliotrema  laurentii</t>
    <phoneticPr fontId="1"/>
  </si>
  <si>
    <t>Metamycoplasma orale</t>
    <phoneticPr fontId="1"/>
  </si>
  <si>
    <t>Metamycoplasma hominis</t>
    <phoneticPr fontId="1"/>
  </si>
  <si>
    <t>Metamycoplasma buccale</t>
    <phoneticPr fontId="1"/>
  </si>
  <si>
    <t>Mycoplasmopsis lipophila</t>
    <phoneticPr fontId="1"/>
  </si>
  <si>
    <t>Limosilactobacillus reuteri</t>
    <phoneticPr fontId="1"/>
  </si>
  <si>
    <t>Cutaneotrichosporon daszewskae</t>
    <phoneticPr fontId="1"/>
  </si>
  <si>
    <t>Ligilactobacillus salivarius</t>
    <phoneticPr fontId="1"/>
  </si>
  <si>
    <t>Pseudescherichia vulneris</t>
    <phoneticPr fontId="1"/>
  </si>
  <si>
    <t>Levilactobacillus brevis</t>
    <phoneticPr fontId="1"/>
  </si>
  <si>
    <t>Lentilactobacillus parabuchneri</t>
    <phoneticPr fontId="1"/>
  </si>
  <si>
    <t>Lacticaseibacillus paracasei</t>
    <phoneticPr fontId="1"/>
  </si>
  <si>
    <r>
      <t xml:space="preserve">Cutibacterium acnes </t>
    </r>
    <r>
      <rPr>
        <sz val="11"/>
        <color theme="1"/>
        <rFont val="Meiryo UI"/>
        <family val="3"/>
        <charset val="128"/>
      </rPr>
      <t>subsp.</t>
    </r>
    <r>
      <rPr>
        <i/>
        <sz val="11"/>
        <color theme="1"/>
        <rFont val="Meiryo UI"/>
        <family val="3"/>
        <charset val="128"/>
      </rPr>
      <t xml:space="preserve"> acnes</t>
    </r>
    <phoneticPr fontId="1"/>
  </si>
  <si>
    <r>
      <t xml:space="preserve">Cutibacterium acnes </t>
    </r>
    <r>
      <rPr>
        <sz val="11"/>
        <color theme="1"/>
        <rFont val="Meiryo UI"/>
        <family val="3"/>
        <charset val="128"/>
      </rPr>
      <t>subsp.</t>
    </r>
    <r>
      <rPr>
        <i/>
        <sz val="11"/>
        <color theme="1"/>
        <rFont val="Meiryo UI"/>
        <family val="3"/>
        <charset val="128"/>
      </rPr>
      <t xml:space="preserve"> defendens</t>
    </r>
    <phoneticPr fontId="1"/>
  </si>
  <si>
    <t>Latilactobacillus curvatus</t>
    <phoneticPr fontId="1"/>
  </si>
  <si>
    <t>L2</t>
  </si>
  <si>
    <t>NBRC 番号</t>
    <phoneticPr fontId="1"/>
  </si>
  <si>
    <t>Enterocloster clostridioformis</t>
    <phoneticPr fontId="1"/>
  </si>
  <si>
    <t>更新日
2021年4月28日</t>
    <rPh sb="0" eb="2">
      <t>コウシン</t>
    </rPh>
    <rPh sb="8" eb="9">
      <t>ネン</t>
    </rPh>
    <rPh sb="10" eb="11">
      <t>ガツ</t>
    </rPh>
    <rPh sb="13" eb="14">
      <t>ニチ</t>
    </rPh>
    <phoneticPr fontId="1"/>
  </si>
  <si>
    <t>Akkermansia sp.</t>
    <phoneticPr fontId="1"/>
  </si>
  <si>
    <t>Human feces (feces of healthy normal-weight Japanese male in his late 40s)</t>
    <phoneticPr fontId="1"/>
  </si>
  <si>
    <t>Akkermansia muciniphila</t>
    <phoneticPr fontId="1"/>
  </si>
  <si>
    <t>Human feces (feces of healthy pre-obese Japanese male in his late 50s)</t>
    <phoneticPr fontId="1"/>
  </si>
  <si>
    <t>RD015142</t>
  </si>
  <si>
    <t>嫌気培養を行ってください。</t>
    <rPh sb="0" eb="2">
      <t>ケンキ</t>
    </rPh>
    <rPh sb="2" eb="4">
      <t>バイヨウ</t>
    </rPh>
    <rPh sb="5" eb="6">
      <t>オコナ</t>
    </rPh>
    <phoneticPr fontId="1"/>
  </si>
  <si>
    <t>RD015143</t>
  </si>
  <si>
    <t>RD015144</t>
  </si>
  <si>
    <t>RD015145</t>
  </si>
  <si>
    <t>RD015146</t>
  </si>
  <si>
    <t>RD015148</t>
  </si>
  <si>
    <t>RD015151</t>
  </si>
  <si>
    <t>乳酸菌</t>
  </si>
  <si>
    <t>RD015152</t>
  </si>
  <si>
    <t>RD015153</t>
  </si>
  <si>
    <t>RD015155</t>
  </si>
  <si>
    <t>RD015156</t>
  </si>
  <si>
    <t>RD015159</t>
  </si>
  <si>
    <t>RD015162</t>
  </si>
  <si>
    <t>RD015165</t>
  </si>
  <si>
    <r>
      <t>Flavonifractor</t>
    </r>
    <r>
      <rPr>
        <sz val="11"/>
        <color theme="1"/>
        <rFont val="Meiryo UI"/>
        <family val="3"/>
        <charset val="128"/>
      </rPr>
      <t xml:space="preserve"> sp.</t>
    </r>
  </si>
  <si>
    <t>RD015166</t>
  </si>
  <si>
    <t>RD015167</t>
  </si>
  <si>
    <t>RD015168</t>
  </si>
  <si>
    <t>RD015171</t>
  </si>
  <si>
    <t>RD015172</t>
  </si>
  <si>
    <t>RD015174</t>
  </si>
  <si>
    <t>RD015175</t>
  </si>
  <si>
    <t>RD015179</t>
  </si>
  <si>
    <t>RD015181</t>
  </si>
  <si>
    <t>RD015183</t>
  </si>
  <si>
    <t>培地1</t>
  </si>
  <si>
    <t>培地1</t>
    <phoneticPr fontId="1"/>
  </si>
  <si>
    <t>培地2</t>
  </si>
  <si>
    <t>培地2</t>
    <phoneticPr fontId="1"/>
  </si>
  <si>
    <t>1*</t>
  </si>
  <si>
    <t>2</t>
  </si>
  <si>
    <t>放線菌</t>
  </si>
  <si>
    <t>BSL</t>
    <phoneticPr fontId="1"/>
  </si>
  <si>
    <t>学名</t>
    <phoneticPr fontId="1"/>
  </si>
  <si>
    <t>RD011721</t>
  </si>
  <si>
    <t>RD014161</t>
  </si>
  <si>
    <t>RD014162</t>
  </si>
  <si>
    <t>RD014165</t>
  </si>
  <si>
    <t>RD014166</t>
  </si>
  <si>
    <t>RD014167</t>
  </si>
  <si>
    <t>RD014168</t>
  </si>
  <si>
    <t>RD014169</t>
  </si>
  <si>
    <t>RD014170</t>
  </si>
  <si>
    <t>RD014171</t>
  </si>
  <si>
    <t>RD014172</t>
  </si>
  <si>
    <t>RD014173</t>
  </si>
  <si>
    <t>RD014174</t>
  </si>
  <si>
    <t>RD014175</t>
  </si>
  <si>
    <t>RD014176</t>
  </si>
  <si>
    <t>RD014177</t>
  </si>
  <si>
    <t>RD014178</t>
  </si>
  <si>
    <t>RD014179</t>
  </si>
  <si>
    <t>RD014180</t>
  </si>
  <si>
    <t>RD014181</t>
  </si>
  <si>
    <t>RD014182</t>
  </si>
  <si>
    <t>RD014183</t>
  </si>
  <si>
    <t>RD014184</t>
  </si>
  <si>
    <t>RD014185</t>
  </si>
  <si>
    <t>RD014186</t>
  </si>
  <si>
    <t>RD014187</t>
  </si>
  <si>
    <t>RD014188</t>
  </si>
  <si>
    <t>RD014189</t>
  </si>
  <si>
    <t>RD014190</t>
  </si>
  <si>
    <t>RD014191</t>
  </si>
  <si>
    <t>RD014192</t>
  </si>
  <si>
    <t>RD014193</t>
  </si>
  <si>
    <t>RD014194</t>
  </si>
  <si>
    <t>RD014195</t>
  </si>
  <si>
    <t>RD014196</t>
  </si>
  <si>
    <t>RD014204</t>
  </si>
  <si>
    <t>RD014206</t>
  </si>
  <si>
    <t>RD014207</t>
  </si>
  <si>
    <t>RD014208</t>
  </si>
  <si>
    <t>RD014209</t>
  </si>
  <si>
    <t>RD014210</t>
  </si>
  <si>
    <t>RD014211</t>
  </si>
  <si>
    <t>RD014218</t>
  </si>
  <si>
    <t>RD014219</t>
  </si>
  <si>
    <t>RD014220</t>
  </si>
  <si>
    <t>RD014221</t>
  </si>
  <si>
    <t>RD014222</t>
  </si>
  <si>
    <t>RD014223</t>
  </si>
  <si>
    <t>RD014225</t>
  </si>
  <si>
    <t>RD014226</t>
  </si>
  <si>
    <t>RD014227</t>
  </si>
  <si>
    <t>RD014232</t>
  </si>
  <si>
    <t>RD014233</t>
  </si>
  <si>
    <t>RD014234</t>
  </si>
  <si>
    <t>RD014235</t>
  </si>
  <si>
    <t>RD014237</t>
  </si>
  <si>
    <t>RD014244</t>
  </si>
  <si>
    <t>RD014245</t>
  </si>
  <si>
    <t>RD014246</t>
  </si>
  <si>
    <t>RD014247</t>
  </si>
  <si>
    <t>RD014248</t>
  </si>
  <si>
    <t>RD014258</t>
  </si>
  <si>
    <t>RD014259</t>
  </si>
  <si>
    <t>RD014260</t>
  </si>
  <si>
    <t>RD014262</t>
  </si>
  <si>
    <t>RD014263</t>
  </si>
  <si>
    <t>RD014509</t>
  </si>
  <si>
    <t>RD014510</t>
  </si>
  <si>
    <t>RD014511</t>
  </si>
  <si>
    <t>RD014530</t>
  </si>
  <si>
    <t>RD014532</t>
  </si>
  <si>
    <t>RD014533</t>
  </si>
  <si>
    <t>RD014534</t>
  </si>
  <si>
    <t>RD014536</t>
  </si>
  <si>
    <t>RD014546</t>
  </si>
  <si>
    <t>RD014549</t>
  </si>
  <si>
    <t>RD014550</t>
  </si>
  <si>
    <t>RD014554</t>
  </si>
  <si>
    <t>RD014555</t>
  </si>
  <si>
    <t>RD014556</t>
  </si>
  <si>
    <t>RD014557</t>
  </si>
  <si>
    <t>RD014558</t>
  </si>
  <si>
    <t>RD014559</t>
  </si>
  <si>
    <t>RD014560</t>
  </si>
  <si>
    <t>RD014561</t>
  </si>
  <si>
    <t>RD014562</t>
  </si>
  <si>
    <t>RD014563</t>
  </si>
  <si>
    <t>RD014564</t>
  </si>
  <si>
    <t>RD014565</t>
  </si>
  <si>
    <t>RD014566</t>
  </si>
  <si>
    <t>RD014567</t>
  </si>
  <si>
    <t>RD014568</t>
  </si>
  <si>
    <t>RD014569</t>
  </si>
  <si>
    <t>RD014570</t>
  </si>
  <si>
    <t>RD014571</t>
  </si>
  <si>
    <t>RD014572</t>
  </si>
  <si>
    <t>RD014574</t>
  </si>
  <si>
    <t>RD014575</t>
  </si>
  <si>
    <t>RD014576</t>
  </si>
  <si>
    <t>RD014577</t>
  </si>
  <si>
    <t>RD014578</t>
  </si>
  <si>
    <t>RD014579</t>
  </si>
  <si>
    <t>RD014580</t>
  </si>
  <si>
    <t>RD014581</t>
  </si>
  <si>
    <t>RD014582</t>
  </si>
  <si>
    <t>RD014583</t>
  </si>
  <si>
    <t>RD014584</t>
  </si>
  <si>
    <t>RD014585</t>
  </si>
  <si>
    <t>RD014586</t>
  </si>
  <si>
    <t>RD014587</t>
  </si>
  <si>
    <t>RD014588</t>
  </si>
  <si>
    <t>RD014589</t>
  </si>
  <si>
    <t>RD014590</t>
  </si>
  <si>
    <t>RD014591</t>
  </si>
  <si>
    <t>RD014592</t>
  </si>
  <si>
    <t>RD014593</t>
  </si>
  <si>
    <t>RD014885</t>
  </si>
  <si>
    <t>RD014886</t>
  </si>
  <si>
    <t>RD014887</t>
  </si>
  <si>
    <t>RD014889</t>
  </si>
  <si>
    <t>RD014893</t>
  </si>
  <si>
    <t>RD014894</t>
  </si>
  <si>
    <t>RD014896</t>
  </si>
  <si>
    <t>RD014897</t>
  </si>
  <si>
    <t>RD014903</t>
  </si>
  <si>
    <t>RD014904</t>
  </si>
  <si>
    <t>RD014907</t>
  </si>
  <si>
    <t>RD014908</t>
  </si>
  <si>
    <t>RD014909</t>
  </si>
  <si>
    <t>RD014912</t>
  </si>
  <si>
    <t>RD014913</t>
  </si>
  <si>
    <t>RD014914</t>
  </si>
  <si>
    <t>RD014918</t>
  </si>
  <si>
    <t>RD014919</t>
  </si>
  <si>
    <t>RD014923</t>
  </si>
  <si>
    <t>RD014924</t>
  </si>
  <si>
    <t>RD014925</t>
  </si>
  <si>
    <t>RD014926</t>
  </si>
  <si>
    <t>RD014927</t>
  </si>
  <si>
    <t>RD014928</t>
  </si>
  <si>
    <t>RD014929</t>
  </si>
  <si>
    <t>RD014930</t>
  </si>
  <si>
    <t>RD014931</t>
  </si>
  <si>
    <t>RD014932</t>
  </si>
  <si>
    <t>RD014933</t>
  </si>
  <si>
    <t>RD014934</t>
  </si>
  <si>
    <t>RD014935</t>
  </si>
  <si>
    <t>RD014936</t>
  </si>
  <si>
    <t>RD014937</t>
  </si>
  <si>
    <t>RD014938</t>
  </si>
  <si>
    <t>RD014939</t>
  </si>
  <si>
    <t>RD014940</t>
  </si>
  <si>
    <t>RD014941</t>
  </si>
  <si>
    <t>RD014942</t>
  </si>
  <si>
    <t>RD014943</t>
  </si>
  <si>
    <t>RD014944</t>
  </si>
  <si>
    <t>RD014945</t>
  </si>
  <si>
    <t>RD015147</t>
  </si>
  <si>
    <t>RD015149</t>
  </si>
  <si>
    <t>RD015150</t>
  </si>
  <si>
    <t>RD015154</t>
  </si>
  <si>
    <t>RD015157</t>
  </si>
  <si>
    <t>RD015158</t>
  </si>
  <si>
    <t>RD015160</t>
  </si>
  <si>
    <t>RD015161</t>
  </si>
  <si>
    <t>RD015163</t>
  </si>
  <si>
    <t>RD015164</t>
  </si>
  <si>
    <t>RD015169</t>
  </si>
  <si>
    <t>RD015170</t>
  </si>
  <si>
    <t>RD015173</t>
  </si>
  <si>
    <t>RD015176</t>
  </si>
  <si>
    <t>RD015177</t>
  </si>
  <si>
    <t>RD015178</t>
  </si>
  <si>
    <t>RD015180</t>
  </si>
  <si>
    <t>RD015182</t>
  </si>
  <si>
    <t>RD015184</t>
  </si>
  <si>
    <t>Human Feces (individual B)</t>
    <phoneticPr fontId="1"/>
  </si>
  <si>
    <t>Human Feces (individual C)</t>
    <phoneticPr fontId="1"/>
  </si>
  <si>
    <t>Human Feces (individual A)</t>
    <phoneticPr fontId="1"/>
  </si>
  <si>
    <t>Human Feces (new born baby)</t>
    <phoneticPr fontId="1"/>
  </si>
  <si>
    <t>RD011719</t>
    <phoneticPr fontId="1"/>
  </si>
  <si>
    <t>RD011720</t>
    <phoneticPr fontId="1"/>
  </si>
  <si>
    <t>1</t>
  </si>
  <si>
    <t>Bifidobacterium sp.</t>
  </si>
  <si>
    <t>Enterococcus sp.</t>
  </si>
  <si>
    <t>Thermophilibacter sp.</t>
  </si>
  <si>
    <t>Collinsella sp.</t>
  </si>
  <si>
    <t>Eggerthella sp.</t>
  </si>
  <si>
    <t>Raoultibacter sp.</t>
  </si>
  <si>
    <t>Rubneribacter sp.</t>
  </si>
  <si>
    <t>Bacteroides sp.</t>
  </si>
  <si>
    <t>Parabacteroides sp.</t>
  </si>
  <si>
    <t>Lacticaseibacillus sp.</t>
  </si>
  <si>
    <t>Clostridium sp.</t>
  </si>
  <si>
    <t>Hungatella sp.</t>
  </si>
  <si>
    <t>Coprococcus sp.</t>
  </si>
  <si>
    <t>Blautia sp.</t>
  </si>
  <si>
    <t>Finegoldia sp.</t>
  </si>
  <si>
    <t>Peptoniphilus sp.</t>
  </si>
  <si>
    <t>Thomasclavelia sp.</t>
  </si>
  <si>
    <t>Klebsiella sp.</t>
  </si>
  <si>
    <t>Enterobacter sp.</t>
  </si>
  <si>
    <t>Escherichia sp.</t>
  </si>
  <si>
    <t>Staphylococcus sp.</t>
  </si>
  <si>
    <t>Butyricimonas sp.</t>
  </si>
  <si>
    <t>Barnesiella sp.</t>
  </si>
  <si>
    <t>Neisseria sp.</t>
  </si>
  <si>
    <t>Actinomyces sp.</t>
  </si>
  <si>
    <t>Streptococcus sp.</t>
  </si>
  <si>
    <t>Peptostreptococcus sp.</t>
  </si>
  <si>
    <t>Veillonella sp.</t>
  </si>
  <si>
    <t>Schaalia sp.</t>
  </si>
  <si>
    <t>Lancefieldella sp.</t>
  </si>
  <si>
    <t>Rothia sp.</t>
  </si>
  <si>
    <t>Dorea sp.</t>
  </si>
  <si>
    <t>Merdimonas sp.</t>
  </si>
  <si>
    <t>cf. Coprococcus sp.</t>
  </si>
  <si>
    <t>Massilimicrobiota sp.</t>
  </si>
  <si>
    <t>Phascolarctobacterium sp.</t>
  </si>
  <si>
    <t>Bilophila sp.</t>
  </si>
  <si>
    <t>Slackia sp.</t>
  </si>
  <si>
    <t>Eggerthia sp.</t>
  </si>
  <si>
    <t>Alistipes sp.</t>
  </si>
  <si>
    <t>Fusobacterium sp.</t>
  </si>
  <si>
    <t>Citrobacter sp.</t>
  </si>
  <si>
    <t>Olsenella sp.</t>
  </si>
  <si>
    <t>Granulicatella sp.</t>
  </si>
  <si>
    <t>Haemophilus sp.</t>
  </si>
  <si>
    <t>Faecalicoccus sp.</t>
  </si>
  <si>
    <t>Intestinimonas sp.</t>
  </si>
  <si>
    <t>Enterocloster sp.</t>
  </si>
  <si>
    <t>Eisenbergiella sp.</t>
  </si>
  <si>
    <t>Lactococcus sp.</t>
  </si>
  <si>
    <t>Pseudoflavonifractor sp.</t>
  </si>
  <si>
    <t>Campylobacter sp.*</t>
    <phoneticPr fontId="1"/>
  </si>
  <si>
    <t>Catabacter sp.</t>
  </si>
  <si>
    <t>Christensenella sp.</t>
  </si>
  <si>
    <t>Ruthenibacterium sp.</t>
  </si>
  <si>
    <t>Flavonifractor sp.</t>
  </si>
  <si>
    <t>Acidaminococcus sp.</t>
  </si>
  <si>
    <t>Parasutterella sp.</t>
  </si>
  <si>
    <t>Dermabacter sp.</t>
    <phoneticPr fontId="1"/>
  </si>
  <si>
    <t>Dermacoccus sp.</t>
    <phoneticPr fontId="1"/>
  </si>
  <si>
    <t>Dermacoccus sp.</t>
  </si>
  <si>
    <t>Kocuria sp.</t>
  </si>
  <si>
    <t>Micrococcus sp.</t>
  </si>
  <si>
    <t>Pediococcus sp.</t>
  </si>
  <si>
    <t>Odoribacter sp.</t>
  </si>
  <si>
    <t>Prevotella sp.</t>
  </si>
  <si>
    <t>Corynebacterium sp.</t>
    <phoneticPr fontId="1"/>
  </si>
  <si>
    <t>Propionibacterium sp.</t>
    <phoneticPr fontId="1"/>
  </si>
  <si>
    <t>Gordonibacter sp.</t>
  </si>
  <si>
    <t>Bifidobacterium sp.</t>
    <phoneticPr fontId="1"/>
  </si>
  <si>
    <t>Coprobacter sp.</t>
    <phoneticPr fontId="1"/>
  </si>
  <si>
    <t>Bacteroides sp.</t>
    <phoneticPr fontId="1"/>
  </si>
  <si>
    <t>Peptoniphilus sp.</t>
    <phoneticPr fontId="1"/>
  </si>
  <si>
    <t>Anaerotignum sp.</t>
    <phoneticPr fontId="1"/>
  </si>
  <si>
    <t>Blautia sp.</t>
    <phoneticPr fontId="1"/>
  </si>
  <si>
    <t>Mediterraneibacter sp.</t>
    <phoneticPr fontId="1"/>
  </si>
  <si>
    <t>Ruminococcus sp.</t>
    <phoneticPr fontId="1"/>
  </si>
  <si>
    <t>Sellimonas sp.</t>
    <phoneticPr fontId="1"/>
  </si>
  <si>
    <t>Flavonifractor sp.</t>
    <phoneticPr fontId="1"/>
  </si>
  <si>
    <t>Intestinimonas sp.</t>
    <phoneticPr fontId="1"/>
  </si>
  <si>
    <t>Dielma sp.</t>
    <phoneticPr fontId="1"/>
  </si>
  <si>
    <t>Holdemanella sp.</t>
    <phoneticPr fontId="1"/>
  </si>
  <si>
    <t>Collinsella sp.</t>
    <phoneticPr fontId="1"/>
  </si>
  <si>
    <t>Megasphaera sp.</t>
    <phoneticPr fontId="1"/>
  </si>
  <si>
    <t>Anaeroglobus sp.</t>
    <phoneticPr fontId="1"/>
  </si>
  <si>
    <t>Neisseria sp.</t>
    <phoneticPr fontId="1"/>
  </si>
  <si>
    <t>Actinomyces sp.</t>
    <phoneticPr fontId="1"/>
  </si>
  <si>
    <t>Asaccharobacter sp.</t>
  </si>
  <si>
    <t>Bacillus sp.</t>
  </si>
  <si>
    <t>Coprobacillus sp.</t>
  </si>
  <si>
    <t>Sellimonas sp.</t>
  </si>
  <si>
    <t>Turicibacter sp.</t>
  </si>
  <si>
    <t>Ruminococcus sp.</t>
  </si>
  <si>
    <t>Intestinibacter sp.</t>
  </si>
  <si>
    <t>*Bergey's Manual of Systematics of Archaea and Bacteriaでは微好気性ですが、嫌気的に培養しました。</t>
    <rPh sb="57" eb="58">
      <t>ビ</t>
    </rPh>
    <rPh sb="58" eb="61">
      <t>コウキセイ</t>
    </rPh>
    <rPh sb="65" eb="67">
      <t>ケンキ</t>
    </rPh>
    <rPh sb="67" eb="68">
      <t>テキ</t>
    </rPh>
    <rPh sb="69" eb="71">
      <t>バイヨウ</t>
    </rPh>
    <phoneticPr fontId="1"/>
  </si>
  <si>
    <r>
      <t>新規公開株は</t>
    </r>
    <r>
      <rPr>
        <b/>
        <u/>
        <sz val="12"/>
        <color rgb="FF0070C0"/>
        <rFont val="Meiryo UI"/>
        <family val="3"/>
        <charset val="128"/>
      </rPr>
      <t>薄青の網掛け</t>
    </r>
    <r>
      <rPr>
        <b/>
        <sz val="12"/>
        <color rgb="FFFF0000"/>
        <rFont val="Meiryo UI"/>
        <family val="3"/>
        <charset val="128"/>
      </rPr>
      <t>で表示しています。</t>
    </r>
    <rPh sb="0" eb="2">
      <t>シンキ</t>
    </rPh>
    <rPh sb="2" eb="5">
      <t>コウカイカブ</t>
    </rPh>
    <rPh sb="6" eb="7">
      <t>ウス</t>
    </rPh>
    <rPh sb="7" eb="8">
      <t>アオ</t>
    </rPh>
    <rPh sb="9" eb="11">
      <t>アミカ</t>
    </rPh>
    <rPh sb="13" eb="15">
      <t>ヒョウジ</t>
    </rPh>
    <phoneticPr fontId="1"/>
  </si>
  <si>
    <t>更新日
2023年8月24日</t>
    <rPh sb="8" eb="9">
      <t>ネン</t>
    </rPh>
    <rPh sb="10" eb="11">
      <t>ガツ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</si>
</sst>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2"/>
      <color indexed="8"/>
      <name val="Meiryo UI"/>
      <family val="3"/>
      <charset val="128"/>
    </font>
    <font>
      <i/>
      <sz val="11"/>
      <color theme="1"/>
      <name val="Meiryo UI"/>
      <family val="3"/>
      <charset val="128"/>
    </font>
    <font>
      <i/>
      <sz val="11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6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rgb="FFFF0000"/>
      <name val="Meiryo UI"/>
      <family val="3"/>
      <charset val="128"/>
    </font>
    <font>
      <b/>
      <u/>
      <sz val="12"/>
      <color rgb="FF0070C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/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49" fontId="3" fillId="3" borderId="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1" xfId="3" applyNumberFormat="1" applyFont="1" applyBorder="1" applyAlignment="1">
      <alignment horizontal="center" vertical="center"/>
    </xf>
    <xf numFmtId="0" fontId="19" fillId="0" borderId="1" xfId="3" applyNumberFormat="1" applyFont="1" applyFill="1" applyBorder="1" applyAlignment="1" applyProtection="1">
      <alignment horizontal="center" vertical="center" wrapText="1"/>
    </xf>
    <xf numFmtId="0" fontId="19" fillId="0" borderId="1" xfId="3" applyNumberFormat="1" applyFont="1" applyFill="1" applyBorder="1" applyAlignment="1">
      <alignment horizontal="center" vertical="center"/>
    </xf>
    <xf numFmtId="0" fontId="19" fillId="4" borderId="1" xfId="3" applyNumberFormat="1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8" fillId="0" borderId="0" xfId="3">
      <alignment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8" fillId="0" borderId="10" xfId="3" applyFill="1" applyBorder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2" xfId="3" applyFill="1" applyBorder="1">
      <alignment vertical="center"/>
    </xf>
    <xf numFmtId="0" fontId="10" fillId="5" borderId="11" xfId="0" applyFont="1" applyFill="1" applyBorder="1" applyAlignment="1">
      <alignment horizontal="center" vertical="center"/>
    </xf>
    <xf numFmtId="0" fontId="18" fillId="5" borderId="12" xfId="3" applyFill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8" fillId="0" borderId="12" xfId="3" applyBorder="1">
      <alignment vertical="center"/>
    </xf>
    <xf numFmtId="0" fontId="1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9" fillId="5" borderId="14" xfId="3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8" fillId="5" borderId="15" xfId="3" applyFill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2" xr:uid="{149CC2E5-165E-4532-B2D5-16FB6999A72C}"/>
    <cellStyle name="標準 3" xfId="1" xr:uid="{A9F5EDB0-8003-44C2-9F7A-19A27798A4FD}"/>
    <cellStyle name="標準 4" xfId="4" xr:uid="{F12F0553-DCC3-4C8A-B50E-995498015C86}"/>
  </cellStyles>
  <dxfs count="14">
    <dxf>
      <font>
        <color rgb="FFFF0000"/>
      </font>
      <fill>
        <patternFill>
          <bgColor rgb="FFFFFF00"/>
        </patternFill>
      </fill>
    </dxf>
    <dxf>
      <fill>
        <patternFill patternType="solid">
          <fgColor indexed="64"/>
          <bgColor rgb="FFCCECFF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ECFF"/>
      <color rgb="FFFFFFE6"/>
      <color rgb="FFFFFFD5"/>
      <color rgb="FFDDF2FF"/>
      <color rgb="FFFFFFEB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EA62F1-0D88-4DE1-9D7B-A37E52BAFC9C}" name="テーブル1" displayName="テーブル1" ref="A3:J301" totalsRowShown="0" headerRowDxfId="13" headerRowBorderDxfId="12" tableBorderDxfId="11">
  <autoFilter ref="A3:J301" xr:uid="{4DCFC4CA-5C5E-48D7-9CE8-C1F179D1A863}"/>
  <tableColumns count="10">
    <tableColumn id="1" xr3:uid="{910A51EE-0FF9-489E-9E1C-7503BC3D129B}" name="学名" dataDxfId="10"/>
    <tableColumn id="2" xr3:uid="{BDF5EDA1-8C6B-4B7A-A01A-E0880105329D}" name="RD 番号" dataDxfId="9"/>
    <tableColumn id="3" xr3:uid="{365010DE-55A5-4ABA-B26B-35479DFAB4E8}" name="BSL" dataDxfId="8"/>
    <tableColumn id="4" xr3:uid="{BE3F4A42-1BE1-4BD9-A92F-228BB23371AB}" name="生物種" dataDxfId="7"/>
    <tableColumn id="5" xr3:uid="{D86FD7CC-90F8-4F94-8468-5B8D3B8DACAF}" name="Source of Isolation" dataDxfId="6"/>
    <tableColumn id="6" xr3:uid="{43C25838-6785-42B1-8BFD-6B0232AB25E7}" name="分離源" dataDxfId="5"/>
    <tableColumn id="7" xr3:uid="{B64A7E41-CB36-481F-9B54-CFF35B62CC3C}" name="培地1" dataDxfId="4" dataCellStyle="ハイパーリンク"/>
    <tableColumn id="8" xr3:uid="{47564896-76BE-49E7-8826-2EA043DF3537}" name="培地2" dataDxfId="3" dataCellStyle="ハイパーリンク"/>
    <tableColumn id="9" xr3:uid="{AC977234-5718-496D-8014-3B0121140C41}" name="培養に関する注意事項" dataDxfId="2"/>
    <tableColumn id="10" xr3:uid="{7F96AAB2-7FB0-47F5-9703-AB8825957D05}" name="16S rDNA配列" dataDxfId="1" dataCellStyle="ハイパーリンク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2DAD-0D4E-41E4-9B1D-1BF7E92D05D2}">
  <sheetPr codeName="Sheet1">
    <tabColor rgb="FFFFC000"/>
    <pageSetUpPr fitToPage="1"/>
  </sheetPr>
  <dimension ref="A1:J497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15" x14ac:dyDescent="0.45"/>
  <cols>
    <col min="1" max="1" width="49" style="6" customWidth="1"/>
    <col min="2" max="2" width="12.09765625" style="2" customWidth="1"/>
    <col min="3" max="3" width="10.69921875" style="2" customWidth="1"/>
    <col min="4" max="4" width="10.3984375" style="2" customWidth="1"/>
    <col min="5" max="5" width="28" style="2" customWidth="1"/>
    <col min="6" max="6" width="56.5" style="8" customWidth="1"/>
    <col min="7" max="7" width="33.69921875" style="2" customWidth="1"/>
    <col min="8" max="9" width="11" style="2" bestFit="1" customWidth="1"/>
    <col min="10" max="10" width="21.09765625" style="14" customWidth="1"/>
    <col min="11" max="16384" width="9" style="1"/>
  </cols>
  <sheetData>
    <row r="1" spans="1:10" ht="40.200000000000003" customHeight="1" x14ac:dyDescent="0.3">
      <c r="A1" s="83" t="s">
        <v>866</v>
      </c>
      <c r="B1" s="83"/>
      <c r="C1" s="83"/>
      <c r="D1" s="83"/>
      <c r="E1" s="83"/>
      <c r="F1" s="83"/>
      <c r="G1" s="83"/>
      <c r="H1" s="83"/>
      <c r="I1" s="83"/>
      <c r="J1" s="18" t="s">
        <v>952</v>
      </c>
    </row>
    <row r="2" spans="1:10" ht="37.200000000000003" customHeight="1" x14ac:dyDescent="0.45">
      <c r="A2" s="20" t="s">
        <v>714</v>
      </c>
      <c r="B2" s="16" t="s">
        <v>950</v>
      </c>
      <c r="C2" s="17" t="s">
        <v>715</v>
      </c>
      <c r="D2" s="16" t="s">
        <v>716</v>
      </c>
      <c r="E2" s="16" t="s">
        <v>861</v>
      </c>
      <c r="F2" s="17" t="s">
        <v>927</v>
      </c>
      <c r="G2" s="16" t="s">
        <v>717</v>
      </c>
      <c r="H2" s="16" t="s">
        <v>985</v>
      </c>
      <c r="I2" s="16" t="s">
        <v>987</v>
      </c>
      <c r="J2" s="15" t="s">
        <v>777</v>
      </c>
    </row>
    <row r="3" spans="1:10" x14ac:dyDescent="0.45">
      <c r="A3" s="5" t="s">
        <v>760</v>
      </c>
      <c r="B3" s="21">
        <v>15</v>
      </c>
      <c r="C3" s="3" t="s">
        <v>711</v>
      </c>
      <c r="D3" s="3" t="s">
        <v>713</v>
      </c>
      <c r="E3" s="3"/>
      <c r="F3" s="7" t="s">
        <v>0</v>
      </c>
      <c r="G3" s="4" t="s">
        <v>1</v>
      </c>
      <c r="H3" s="40">
        <f t="shared" ref="H3:H34" si="0">HYPERLINK("https://www.nite.go.jp/nbrc/catalogue/NBRCMediumDetailServlet?NO=000108",108)</f>
        <v>108</v>
      </c>
      <c r="I3" s="40"/>
      <c r="J3" s="13"/>
    </row>
    <row r="4" spans="1:10" x14ac:dyDescent="0.45">
      <c r="A4" s="5" t="s">
        <v>761</v>
      </c>
      <c r="B4" s="21">
        <v>17</v>
      </c>
      <c r="C4" s="3" t="s">
        <v>711</v>
      </c>
      <c r="D4" s="3"/>
      <c r="E4" s="3"/>
      <c r="F4" s="7" t="s">
        <v>2</v>
      </c>
      <c r="G4" s="4" t="s">
        <v>3</v>
      </c>
      <c r="H4" s="40">
        <f t="shared" si="0"/>
        <v>108</v>
      </c>
      <c r="I4" s="40"/>
      <c r="J4" s="13"/>
    </row>
    <row r="5" spans="1:10" x14ac:dyDescent="0.45">
      <c r="A5" s="5" t="s">
        <v>761</v>
      </c>
      <c r="B5" s="21">
        <v>19</v>
      </c>
      <c r="C5" s="3" t="s">
        <v>711</v>
      </c>
      <c r="D5" s="3"/>
      <c r="E5" s="3"/>
      <c r="F5" s="7" t="s">
        <v>4</v>
      </c>
      <c r="G5" s="4" t="s">
        <v>5</v>
      </c>
      <c r="H5" s="40">
        <f t="shared" si="0"/>
        <v>108</v>
      </c>
      <c r="I5" s="40"/>
      <c r="J5" s="13"/>
    </row>
    <row r="6" spans="1:10" x14ac:dyDescent="0.45">
      <c r="A6" s="5" t="s">
        <v>761</v>
      </c>
      <c r="B6" s="21">
        <v>47</v>
      </c>
      <c r="C6" s="3" t="s">
        <v>711</v>
      </c>
      <c r="D6" s="3"/>
      <c r="E6" s="3"/>
      <c r="F6" s="7" t="s">
        <v>6</v>
      </c>
      <c r="G6" s="4" t="s">
        <v>7</v>
      </c>
      <c r="H6" s="40">
        <f t="shared" si="0"/>
        <v>108</v>
      </c>
      <c r="I6" s="40"/>
      <c r="J6" s="13"/>
    </row>
    <row r="7" spans="1:10" x14ac:dyDescent="0.45">
      <c r="A7" s="5" t="s">
        <v>932</v>
      </c>
      <c r="B7" s="21">
        <v>612</v>
      </c>
      <c r="C7" s="3" t="s">
        <v>711</v>
      </c>
      <c r="D7" s="3"/>
      <c r="E7" s="3"/>
      <c r="F7" s="7" t="s">
        <v>8</v>
      </c>
      <c r="G7" s="4" t="s">
        <v>9</v>
      </c>
      <c r="H7" s="40">
        <f t="shared" si="0"/>
        <v>108</v>
      </c>
      <c r="I7" s="40"/>
      <c r="J7" s="13"/>
    </row>
    <row r="8" spans="1:10" x14ac:dyDescent="0.45">
      <c r="A8" s="5" t="s">
        <v>10</v>
      </c>
      <c r="B8" s="21">
        <v>619</v>
      </c>
      <c r="C8" s="3" t="s">
        <v>711</v>
      </c>
      <c r="D8" s="3"/>
      <c r="E8" s="3"/>
      <c r="F8" s="7" t="s">
        <v>11</v>
      </c>
      <c r="G8" s="4" t="s">
        <v>12</v>
      </c>
      <c r="H8" s="40">
        <f t="shared" si="0"/>
        <v>108</v>
      </c>
      <c r="I8" s="40"/>
      <c r="J8" s="13"/>
    </row>
    <row r="9" spans="1:10" x14ac:dyDescent="0.45">
      <c r="A9" s="5" t="s">
        <v>13</v>
      </c>
      <c r="B9" s="21">
        <v>621</v>
      </c>
      <c r="C9" s="3" t="s">
        <v>711</v>
      </c>
      <c r="D9" s="3" t="s">
        <v>713</v>
      </c>
      <c r="E9" s="3"/>
      <c r="F9" s="7" t="s">
        <v>11</v>
      </c>
      <c r="G9" s="4" t="s">
        <v>12</v>
      </c>
      <c r="H9" s="40">
        <f t="shared" si="0"/>
        <v>108</v>
      </c>
      <c r="I9" s="40"/>
      <c r="J9" s="13"/>
    </row>
    <row r="10" spans="1:10" x14ac:dyDescent="0.45">
      <c r="A10" s="5" t="s">
        <v>14</v>
      </c>
      <c r="B10" s="21">
        <v>622</v>
      </c>
      <c r="C10" s="3" t="s">
        <v>711</v>
      </c>
      <c r="D10" s="3" t="s">
        <v>713</v>
      </c>
      <c r="E10" s="3"/>
      <c r="F10" s="7" t="s">
        <v>15</v>
      </c>
      <c r="G10" s="4" t="s">
        <v>16</v>
      </c>
      <c r="H10" s="40">
        <f t="shared" si="0"/>
        <v>108</v>
      </c>
      <c r="I10" s="40"/>
      <c r="J10" s="13"/>
    </row>
    <row r="11" spans="1:10" x14ac:dyDescent="0.45">
      <c r="A11" s="5" t="s">
        <v>762</v>
      </c>
      <c r="B11" s="21">
        <v>623</v>
      </c>
      <c r="C11" s="3" t="s">
        <v>711</v>
      </c>
      <c r="D11" s="3" t="s">
        <v>713</v>
      </c>
      <c r="E11" s="3"/>
      <c r="F11" s="7" t="s">
        <v>17</v>
      </c>
      <c r="G11" s="4" t="s">
        <v>18</v>
      </c>
      <c r="H11" s="40">
        <f t="shared" si="0"/>
        <v>108</v>
      </c>
      <c r="I11" s="40"/>
      <c r="J11" s="13"/>
    </row>
    <row r="12" spans="1:10" x14ac:dyDescent="0.45">
      <c r="A12" s="5" t="s">
        <v>19</v>
      </c>
      <c r="B12" s="21">
        <v>699</v>
      </c>
      <c r="C12" s="3" t="s">
        <v>711</v>
      </c>
      <c r="D12" s="3" t="s">
        <v>713</v>
      </c>
      <c r="E12" s="3"/>
      <c r="F12" s="7" t="s">
        <v>20</v>
      </c>
      <c r="G12" s="4" t="s">
        <v>3</v>
      </c>
      <c r="H12" s="40">
        <f t="shared" si="0"/>
        <v>108</v>
      </c>
      <c r="I12" s="40"/>
      <c r="J12" s="13"/>
    </row>
    <row r="13" spans="1:10" x14ac:dyDescent="0.45">
      <c r="A13" s="5" t="s">
        <v>21</v>
      </c>
      <c r="B13" s="21">
        <v>708</v>
      </c>
      <c r="C13" s="3" t="s">
        <v>711</v>
      </c>
      <c r="D13" s="3"/>
      <c r="E13" s="3"/>
      <c r="F13" s="7" t="s">
        <v>22</v>
      </c>
      <c r="G13" s="4" t="s">
        <v>23</v>
      </c>
      <c r="H13" s="40">
        <f t="shared" si="0"/>
        <v>108</v>
      </c>
      <c r="I13" s="40"/>
      <c r="J13" s="13"/>
    </row>
    <row r="14" spans="1:10" x14ac:dyDescent="0.45">
      <c r="A14" s="5" t="s">
        <v>24</v>
      </c>
      <c r="B14" s="21">
        <v>734</v>
      </c>
      <c r="C14" s="3" t="s">
        <v>711</v>
      </c>
      <c r="D14" s="3"/>
      <c r="E14" s="3"/>
      <c r="F14" s="7" t="s">
        <v>25</v>
      </c>
      <c r="G14" s="4" t="s">
        <v>26</v>
      </c>
      <c r="H14" s="40">
        <f t="shared" si="0"/>
        <v>108</v>
      </c>
      <c r="I14" s="40"/>
      <c r="J14" s="13"/>
    </row>
    <row r="15" spans="1:10" x14ac:dyDescent="0.45">
      <c r="A15" s="5" t="s">
        <v>27</v>
      </c>
      <c r="B15" s="21">
        <v>739</v>
      </c>
      <c r="C15" s="3" t="s">
        <v>711</v>
      </c>
      <c r="D15" s="3"/>
      <c r="E15" s="3"/>
      <c r="F15" s="7" t="s">
        <v>11</v>
      </c>
      <c r="G15" s="4" t="s">
        <v>12</v>
      </c>
      <c r="H15" s="40">
        <f t="shared" si="0"/>
        <v>108</v>
      </c>
      <c r="I15" s="40"/>
      <c r="J15" s="13"/>
    </row>
    <row r="16" spans="1:10" x14ac:dyDescent="0.45">
      <c r="A16" s="5" t="s">
        <v>28</v>
      </c>
      <c r="B16" s="21">
        <v>740</v>
      </c>
      <c r="C16" s="3" t="s">
        <v>711</v>
      </c>
      <c r="D16" s="3"/>
      <c r="E16" s="3"/>
      <c r="F16" s="7" t="s">
        <v>11</v>
      </c>
      <c r="G16" s="4" t="s">
        <v>12</v>
      </c>
      <c r="H16" s="40">
        <f t="shared" si="0"/>
        <v>108</v>
      </c>
      <c r="I16" s="40"/>
      <c r="J16" s="13"/>
    </row>
    <row r="17" spans="1:10" x14ac:dyDescent="0.45">
      <c r="A17" s="5" t="s">
        <v>29</v>
      </c>
      <c r="B17" s="21">
        <v>743</v>
      </c>
      <c r="C17" s="3" t="s">
        <v>711</v>
      </c>
      <c r="D17" s="3"/>
      <c r="E17" s="3"/>
      <c r="F17" s="7" t="s">
        <v>30</v>
      </c>
      <c r="G17" s="4" t="s">
        <v>31</v>
      </c>
      <c r="H17" s="40">
        <f t="shared" si="0"/>
        <v>108</v>
      </c>
      <c r="I17" s="40"/>
      <c r="J17" s="13"/>
    </row>
    <row r="18" spans="1:10" x14ac:dyDescent="0.45">
      <c r="A18" s="5" t="s">
        <v>908</v>
      </c>
      <c r="B18" s="21">
        <v>744</v>
      </c>
      <c r="C18" s="3" t="s">
        <v>711</v>
      </c>
      <c r="D18" s="3"/>
      <c r="E18" s="3"/>
      <c r="F18" s="7" t="s">
        <v>907</v>
      </c>
      <c r="G18" s="4" t="s">
        <v>906</v>
      </c>
      <c r="H18" s="40">
        <f t="shared" si="0"/>
        <v>108</v>
      </c>
      <c r="I18" s="40"/>
      <c r="J18" s="13"/>
    </row>
    <row r="19" spans="1:10" x14ac:dyDescent="0.45">
      <c r="A19" s="5" t="s">
        <v>32</v>
      </c>
      <c r="B19" s="21">
        <v>745</v>
      </c>
      <c r="C19" s="3" t="s">
        <v>711</v>
      </c>
      <c r="D19" s="3" t="s">
        <v>713</v>
      </c>
      <c r="E19" s="3"/>
      <c r="F19" s="7" t="s">
        <v>33</v>
      </c>
      <c r="G19" s="4" t="s">
        <v>34</v>
      </c>
      <c r="H19" s="40">
        <f t="shared" si="0"/>
        <v>108</v>
      </c>
      <c r="I19" s="40"/>
      <c r="J19" s="13"/>
    </row>
    <row r="20" spans="1:10" x14ac:dyDescent="0.45">
      <c r="A20" s="5" t="s">
        <v>35</v>
      </c>
      <c r="B20" s="21">
        <v>750</v>
      </c>
      <c r="C20" s="3" t="s">
        <v>711</v>
      </c>
      <c r="D20" s="3" t="s">
        <v>713</v>
      </c>
      <c r="E20" s="3"/>
      <c r="F20" s="7" t="s">
        <v>36</v>
      </c>
      <c r="G20" s="4" t="s">
        <v>37</v>
      </c>
      <c r="H20" s="40">
        <f t="shared" si="0"/>
        <v>108</v>
      </c>
      <c r="I20" s="40"/>
      <c r="J20" s="13"/>
    </row>
    <row r="21" spans="1:10" x14ac:dyDescent="0.45">
      <c r="A21" s="5" t="s">
        <v>38</v>
      </c>
      <c r="B21" s="21">
        <v>761</v>
      </c>
      <c r="C21" s="3" t="s">
        <v>711</v>
      </c>
      <c r="D21" s="3" t="s">
        <v>713</v>
      </c>
      <c r="E21" s="3"/>
      <c r="F21" s="7" t="s">
        <v>15</v>
      </c>
      <c r="G21" s="4" t="s">
        <v>16</v>
      </c>
      <c r="H21" s="40">
        <f t="shared" si="0"/>
        <v>108</v>
      </c>
      <c r="I21" s="40"/>
      <c r="J21" s="13"/>
    </row>
    <row r="22" spans="1:10" x14ac:dyDescent="0.45">
      <c r="A22" s="5" t="s">
        <v>39</v>
      </c>
      <c r="B22" s="21">
        <v>794</v>
      </c>
      <c r="C22" s="3" t="s">
        <v>711</v>
      </c>
      <c r="D22" s="3" t="s">
        <v>713</v>
      </c>
      <c r="E22" s="3"/>
      <c r="F22" s="7" t="s">
        <v>2</v>
      </c>
      <c r="G22" s="4" t="s">
        <v>3</v>
      </c>
      <c r="H22" s="40">
        <f t="shared" si="0"/>
        <v>108</v>
      </c>
      <c r="I22" s="40"/>
      <c r="J22" s="13"/>
    </row>
    <row r="23" spans="1:10" x14ac:dyDescent="0.45">
      <c r="A23" s="5" t="s">
        <v>40</v>
      </c>
      <c r="B23" s="21">
        <v>907</v>
      </c>
      <c r="C23" s="3" t="s">
        <v>711</v>
      </c>
      <c r="D23" s="3"/>
      <c r="E23" s="3"/>
      <c r="F23" s="7" t="s">
        <v>15</v>
      </c>
      <c r="G23" s="4" t="s">
        <v>16</v>
      </c>
      <c r="H23" s="40">
        <f t="shared" si="0"/>
        <v>108</v>
      </c>
      <c r="I23" s="40"/>
      <c r="J23" s="13"/>
    </row>
    <row r="24" spans="1:10" x14ac:dyDescent="0.45">
      <c r="A24" s="5" t="s">
        <v>40</v>
      </c>
      <c r="B24" s="21">
        <v>910</v>
      </c>
      <c r="C24" s="3" t="s">
        <v>711</v>
      </c>
      <c r="D24" s="3"/>
      <c r="E24" s="3"/>
      <c r="F24" s="7" t="s">
        <v>41</v>
      </c>
      <c r="G24" s="4" t="s">
        <v>42</v>
      </c>
      <c r="H24" s="40">
        <f t="shared" si="0"/>
        <v>108</v>
      </c>
      <c r="I24" s="40"/>
      <c r="J24" s="13"/>
    </row>
    <row r="25" spans="1:10" x14ac:dyDescent="0.45">
      <c r="A25" s="5" t="s">
        <v>40</v>
      </c>
      <c r="B25" s="21">
        <v>912</v>
      </c>
      <c r="C25" s="3" t="s">
        <v>711</v>
      </c>
      <c r="D25" s="3"/>
      <c r="E25" s="3"/>
      <c r="F25" s="7" t="s">
        <v>43</v>
      </c>
      <c r="G25" s="4" t="s">
        <v>44</v>
      </c>
      <c r="H25" s="40">
        <f t="shared" si="0"/>
        <v>108</v>
      </c>
      <c r="I25" s="40"/>
      <c r="J25" s="13"/>
    </row>
    <row r="26" spans="1:10" x14ac:dyDescent="0.45">
      <c r="A26" s="5" t="s">
        <v>40</v>
      </c>
      <c r="B26" s="21">
        <v>914</v>
      </c>
      <c r="C26" s="3" t="s">
        <v>711</v>
      </c>
      <c r="D26" s="3"/>
      <c r="E26" s="3"/>
      <c r="F26" s="7" t="s">
        <v>45</v>
      </c>
      <c r="G26" s="4" t="s">
        <v>46</v>
      </c>
      <c r="H26" s="40">
        <f t="shared" si="0"/>
        <v>108</v>
      </c>
      <c r="I26" s="40"/>
      <c r="J26" s="13"/>
    </row>
    <row r="27" spans="1:10" x14ac:dyDescent="0.45">
      <c r="A27" s="5" t="s">
        <v>40</v>
      </c>
      <c r="B27" s="21">
        <v>918</v>
      </c>
      <c r="C27" s="3" t="s">
        <v>711</v>
      </c>
      <c r="D27" s="3"/>
      <c r="E27" s="3"/>
      <c r="F27" s="7" t="s">
        <v>11</v>
      </c>
      <c r="G27" s="4" t="s">
        <v>12</v>
      </c>
      <c r="H27" s="40">
        <f t="shared" si="0"/>
        <v>108</v>
      </c>
      <c r="I27" s="40"/>
      <c r="J27" s="13"/>
    </row>
    <row r="28" spans="1:10" x14ac:dyDescent="0.45">
      <c r="A28" s="5" t="s">
        <v>40</v>
      </c>
      <c r="B28" s="21">
        <v>919</v>
      </c>
      <c r="C28" s="3" t="s">
        <v>711</v>
      </c>
      <c r="D28" s="3"/>
      <c r="E28" s="3"/>
      <c r="F28" s="7" t="s">
        <v>47</v>
      </c>
      <c r="G28" s="4" t="s">
        <v>48</v>
      </c>
      <c r="H28" s="40">
        <f t="shared" si="0"/>
        <v>108</v>
      </c>
      <c r="I28" s="40"/>
      <c r="J28" s="13"/>
    </row>
    <row r="29" spans="1:10" x14ac:dyDescent="0.45">
      <c r="A29" s="5" t="s">
        <v>932</v>
      </c>
      <c r="B29" s="21">
        <v>936</v>
      </c>
      <c r="C29" s="3" t="s">
        <v>711</v>
      </c>
      <c r="D29" s="3"/>
      <c r="E29" s="3"/>
      <c r="F29" s="7" t="s">
        <v>49</v>
      </c>
      <c r="G29" s="4" t="s">
        <v>46</v>
      </c>
      <c r="H29" s="40">
        <f t="shared" si="0"/>
        <v>108</v>
      </c>
      <c r="I29" s="40"/>
      <c r="J29" s="13"/>
    </row>
    <row r="30" spans="1:10" x14ac:dyDescent="0.45">
      <c r="A30" s="5" t="s">
        <v>932</v>
      </c>
      <c r="B30" s="21">
        <v>938</v>
      </c>
      <c r="C30" s="3" t="s">
        <v>711</v>
      </c>
      <c r="D30" s="3"/>
      <c r="E30" s="3"/>
      <c r="F30" s="7" t="s">
        <v>50</v>
      </c>
      <c r="G30" s="4" t="s">
        <v>12</v>
      </c>
      <c r="H30" s="40">
        <f t="shared" si="0"/>
        <v>108</v>
      </c>
      <c r="I30" s="40"/>
      <c r="J30" s="13"/>
    </row>
    <row r="31" spans="1:10" x14ac:dyDescent="0.45">
      <c r="A31" s="5" t="s">
        <v>51</v>
      </c>
      <c r="B31" s="21">
        <v>959</v>
      </c>
      <c r="C31" s="3" t="s">
        <v>711</v>
      </c>
      <c r="D31" s="3" t="s">
        <v>713</v>
      </c>
      <c r="E31" s="3"/>
      <c r="F31" s="7" t="s">
        <v>41</v>
      </c>
      <c r="G31" s="4" t="s">
        <v>42</v>
      </c>
      <c r="H31" s="40">
        <f t="shared" si="0"/>
        <v>108</v>
      </c>
      <c r="I31" s="40"/>
      <c r="J31" s="13"/>
    </row>
    <row r="32" spans="1:10" x14ac:dyDescent="0.45">
      <c r="A32" s="5" t="s">
        <v>52</v>
      </c>
      <c r="B32" s="21">
        <v>966</v>
      </c>
      <c r="C32" s="3" t="s">
        <v>711</v>
      </c>
      <c r="D32" s="3" t="s">
        <v>713</v>
      </c>
      <c r="E32" s="3"/>
      <c r="F32" s="7" t="s">
        <v>36</v>
      </c>
      <c r="G32" s="4" t="s">
        <v>37</v>
      </c>
      <c r="H32" s="40">
        <f t="shared" si="0"/>
        <v>108</v>
      </c>
      <c r="I32" s="40"/>
      <c r="J32" s="13"/>
    </row>
    <row r="33" spans="1:10" x14ac:dyDescent="0.45">
      <c r="A33" s="5" t="s">
        <v>24</v>
      </c>
      <c r="B33" s="21">
        <v>970</v>
      </c>
      <c r="C33" s="3" t="s">
        <v>711</v>
      </c>
      <c r="D33" s="3"/>
      <c r="E33" s="3"/>
      <c r="F33" s="7" t="s">
        <v>11</v>
      </c>
      <c r="G33" s="4" t="s">
        <v>12</v>
      </c>
      <c r="H33" s="40">
        <f t="shared" si="0"/>
        <v>108</v>
      </c>
      <c r="I33" s="40"/>
      <c r="J33" s="13"/>
    </row>
    <row r="34" spans="1:10" x14ac:dyDescent="0.45">
      <c r="A34" s="5" t="s">
        <v>53</v>
      </c>
      <c r="B34" s="21">
        <v>987</v>
      </c>
      <c r="C34" s="3" t="s">
        <v>711</v>
      </c>
      <c r="D34" s="3" t="s">
        <v>713</v>
      </c>
      <c r="E34" s="3"/>
      <c r="F34" s="7" t="s">
        <v>54</v>
      </c>
      <c r="G34" s="4" t="s">
        <v>55</v>
      </c>
      <c r="H34" s="40">
        <f t="shared" si="0"/>
        <v>108</v>
      </c>
      <c r="I34" s="40"/>
      <c r="J34" s="13"/>
    </row>
    <row r="35" spans="1:10" x14ac:dyDescent="0.45">
      <c r="A35" s="5" t="s">
        <v>56</v>
      </c>
      <c r="B35" s="21">
        <v>1014</v>
      </c>
      <c r="C35" s="3" t="s">
        <v>711</v>
      </c>
      <c r="D35" s="3"/>
      <c r="E35" s="3"/>
      <c r="F35" s="7" t="s">
        <v>36</v>
      </c>
      <c r="G35" s="4" t="s">
        <v>37</v>
      </c>
      <c r="H35" s="40">
        <f t="shared" ref="H35:H71" si="1">HYPERLINK("https://www.nite.go.jp/nbrc/catalogue/NBRCMediumDetailServlet?NO=000108",108)</f>
        <v>108</v>
      </c>
      <c r="I35" s="40"/>
      <c r="J35" s="13"/>
    </row>
    <row r="36" spans="1:10" x14ac:dyDescent="0.45">
      <c r="A36" s="5" t="s">
        <v>24</v>
      </c>
      <c r="B36" s="21">
        <v>1020</v>
      </c>
      <c r="C36" s="3" t="s">
        <v>711</v>
      </c>
      <c r="D36" s="3" t="s">
        <v>713</v>
      </c>
      <c r="E36" s="3"/>
      <c r="F36" s="7" t="s">
        <v>11</v>
      </c>
      <c r="G36" s="4" t="s">
        <v>12</v>
      </c>
      <c r="H36" s="40">
        <f t="shared" si="1"/>
        <v>108</v>
      </c>
      <c r="I36" s="40"/>
      <c r="J36" s="13"/>
    </row>
    <row r="37" spans="1:10" x14ac:dyDescent="0.45">
      <c r="A37" s="5" t="s">
        <v>57</v>
      </c>
      <c r="B37" s="21">
        <v>1037</v>
      </c>
      <c r="C37" s="3" t="s">
        <v>711</v>
      </c>
      <c r="D37" s="3"/>
      <c r="E37" s="3"/>
      <c r="F37" s="7" t="s">
        <v>58</v>
      </c>
      <c r="G37" s="4" t="s">
        <v>59</v>
      </c>
      <c r="H37" s="40">
        <f t="shared" si="1"/>
        <v>108</v>
      </c>
      <c r="I37" s="40"/>
      <c r="J37" s="13"/>
    </row>
    <row r="38" spans="1:10" x14ac:dyDescent="0.45">
      <c r="A38" s="5" t="s">
        <v>60</v>
      </c>
      <c r="B38" s="21">
        <v>1061</v>
      </c>
      <c r="C38" s="3" t="s">
        <v>711</v>
      </c>
      <c r="D38" s="3"/>
      <c r="E38" s="3" t="s">
        <v>774</v>
      </c>
      <c r="F38" s="7" t="s">
        <v>61</v>
      </c>
      <c r="G38" s="4" t="s">
        <v>62</v>
      </c>
      <c r="H38" s="40">
        <f t="shared" si="1"/>
        <v>108</v>
      </c>
      <c r="I38" s="40"/>
      <c r="J38" s="13"/>
    </row>
    <row r="39" spans="1:10" x14ac:dyDescent="0.45">
      <c r="A39" s="12" t="s">
        <v>772</v>
      </c>
      <c r="B39" s="22">
        <v>1100</v>
      </c>
      <c r="C39" s="9" t="s">
        <v>773</v>
      </c>
      <c r="D39" s="3"/>
      <c r="E39" s="3"/>
      <c r="F39" s="10" t="s">
        <v>15</v>
      </c>
      <c r="G39" s="11" t="s">
        <v>770</v>
      </c>
      <c r="H39" s="41">
        <f t="shared" si="1"/>
        <v>108</v>
      </c>
      <c r="I39" s="41"/>
      <c r="J39" s="9"/>
    </row>
    <row r="40" spans="1:10" x14ac:dyDescent="0.45">
      <c r="A40" s="12" t="s">
        <v>772</v>
      </c>
      <c r="B40" s="22">
        <v>1101</v>
      </c>
      <c r="C40" s="9" t="s">
        <v>773</v>
      </c>
      <c r="D40" s="3"/>
      <c r="E40" s="3"/>
      <c r="F40" s="10" t="s">
        <v>15</v>
      </c>
      <c r="G40" s="11" t="s">
        <v>770</v>
      </c>
      <c r="H40" s="41">
        <f t="shared" si="1"/>
        <v>108</v>
      </c>
      <c r="I40" s="41"/>
      <c r="J40" s="9"/>
    </row>
    <row r="41" spans="1:10" x14ac:dyDescent="0.45">
      <c r="A41" s="5" t="s">
        <v>933</v>
      </c>
      <c r="B41" s="21">
        <v>1159</v>
      </c>
      <c r="C41" s="3" t="s">
        <v>711</v>
      </c>
      <c r="D41" s="3" t="s">
        <v>713</v>
      </c>
      <c r="E41" s="3"/>
      <c r="F41" s="7" t="s">
        <v>63</v>
      </c>
      <c r="G41" s="4" t="s">
        <v>64</v>
      </c>
      <c r="H41" s="40">
        <f t="shared" si="1"/>
        <v>108</v>
      </c>
      <c r="I41" s="40"/>
      <c r="J41" s="13"/>
    </row>
    <row r="42" spans="1:10" x14ac:dyDescent="0.45">
      <c r="A42" s="5" t="s">
        <v>65</v>
      </c>
      <c r="B42" s="21">
        <v>1162</v>
      </c>
      <c r="C42" s="3" t="s">
        <v>711</v>
      </c>
      <c r="D42" s="3"/>
      <c r="E42" s="3"/>
      <c r="F42" s="7" t="s">
        <v>66</v>
      </c>
      <c r="G42" s="4" t="s">
        <v>37</v>
      </c>
      <c r="H42" s="40">
        <f t="shared" si="1"/>
        <v>108</v>
      </c>
      <c r="I42" s="40"/>
      <c r="J42" s="13"/>
    </row>
    <row r="43" spans="1:10" x14ac:dyDescent="0.45">
      <c r="A43" s="5" t="s">
        <v>67</v>
      </c>
      <c r="B43" s="21">
        <v>1196</v>
      </c>
      <c r="C43" s="3" t="s">
        <v>711</v>
      </c>
      <c r="D43" s="3"/>
      <c r="E43" s="3"/>
      <c r="F43" s="7" t="s">
        <v>11</v>
      </c>
      <c r="G43" s="4" t="s">
        <v>12</v>
      </c>
      <c r="H43" s="40">
        <f t="shared" si="1"/>
        <v>108</v>
      </c>
      <c r="I43" s="40"/>
      <c r="J43" s="13"/>
    </row>
    <row r="44" spans="1:10" x14ac:dyDescent="0.45">
      <c r="A44" s="5" t="s">
        <v>68</v>
      </c>
      <c r="B44" s="21">
        <v>1198</v>
      </c>
      <c r="C44" s="3" t="s">
        <v>711</v>
      </c>
      <c r="D44" s="3" t="s">
        <v>713</v>
      </c>
      <c r="E44" s="3"/>
      <c r="F44" s="7" t="s">
        <v>69</v>
      </c>
      <c r="G44" s="4" t="s">
        <v>70</v>
      </c>
      <c r="H44" s="40">
        <f t="shared" si="1"/>
        <v>108</v>
      </c>
      <c r="I44" s="40"/>
      <c r="J44" s="13"/>
    </row>
    <row r="45" spans="1:10" x14ac:dyDescent="0.45">
      <c r="A45" s="5" t="s">
        <v>71</v>
      </c>
      <c r="B45" s="21">
        <v>1246</v>
      </c>
      <c r="C45" s="3" t="s">
        <v>711</v>
      </c>
      <c r="D45" s="3" t="s">
        <v>713</v>
      </c>
      <c r="E45" s="3"/>
      <c r="F45" s="7" t="s">
        <v>72</v>
      </c>
      <c r="G45" s="4" t="s">
        <v>73</v>
      </c>
      <c r="H45" s="40">
        <f t="shared" si="1"/>
        <v>108</v>
      </c>
      <c r="I45" s="40"/>
      <c r="J45" s="13"/>
    </row>
    <row r="46" spans="1:10" x14ac:dyDescent="0.45">
      <c r="A46" s="5" t="s">
        <v>35</v>
      </c>
      <c r="B46" s="21">
        <v>1364</v>
      </c>
      <c r="C46" s="3" t="s">
        <v>711</v>
      </c>
      <c r="D46" s="3"/>
      <c r="E46" s="3"/>
      <c r="F46" s="7" t="s">
        <v>74</v>
      </c>
      <c r="G46" s="4" t="s">
        <v>75</v>
      </c>
      <c r="H46" s="40">
        <f t="shared" si="1"/>
        <v>108</v>
      </c>
      <c r="I46" s="40"/>
      <c r="J46" s="13"/>
    </row>
    <row r="47" spans="1:10" x14ac:dyDescent="0.45">
      <c r="A47" s="5" t="s">
        <v>76</v>
      </c>
      <c r="B47" s="21">
        <v>1373</v>
      </c>
      <c r="C47" s="3" t="s">
        <v>711</v>
      </c>
      <c r="D47" s="3" t="s">
        <v>713</v>
      </c>
      <c r="E47" s="3"/>
      <c r="F47" s="7" t="s">
        <v>77</v>
      </c>
      <c r="G47" s="4" t="s">
        <v>78</v>
      </c>
      <c r="H47" s="40">
        <f t="shared" si="1"/>
        <v>108</v>
      </c>
      <c r="I47" s="40"/>
      <c r="J47" s="13"/>
    </row>
    <row r="48" spans="1:10" x14ac:dyDescent="0.45">
      <c r="A48" s="5" t="s">
        <v>60</v>
      </c>
      <c r="B48" s="21">
        <v>1385</v>
      </c>
      <c r="C48" s="3" t="s">
        <v>711</v>
      </c>
      <c r="D48" s="3" t="s">
        <v>713</v>
      </c>
      <c r="E48" s="3" t="s">
        <v>774</v>
      </c>
      <c r="F48" s="7" t="s">
        <v>79</v>
      </c>
      <c r="G48" s="4" t="s">
        <v>80</v>
      </c>
      <c r="H48" s="40">
        <f t="shared" si="1"/>
        <v>108</v>
      </c>
      <c r="I48" s="40"/>
      <c r="J48" s="13"/>
    </row>
    <row r="49" spans="1:10" x14ac:dyDescent="0.45">
      <c r="A49" s="5" t="s">
        <v>60</v>
      </c>
      <c r="B49" s="21">
        <v>1388</v>
      </c>
      <c r="C49" s="3" t="s">
        <v>711</v>
      </c>
      <c r="D49" s="3"/>
      <c r="E49" s="3" t="s">
        <v>774</v>
      </c>
      <c r="F49" s="7" t="s">
        <v>81</v>
      </c>
      <c r="G49" s="4" t="s">
        <v>82</v>
      </c>
      <c r="H49" s="40">
        <f t="shared" si="1"/>
        <v>108</v>
      </c>
      <c r="I49" s="40"/>
      <c r="J49" s="13"/>
    </row>
    <row r="50" spans="1:10" x14ac:dyDescent="0.45">
      <c r="A50" s="5" t="s">
        <v>60</v>
      </c>
      <c r="B50" s="21">
        <v>1389</v>
      </c>
      <c r="C50" s="3" t="s">
        <v>711</v>
      </c>
      <c r="D50" s="3"/>
      <c r="E50" s="3" t="s">
        <v>774</v>
      </c>
      <c r="F50" s="7" t="s">
        <v>83</v>
      </c>
      <c r="G50" s="4" t="s">
        <v>84</v>
      </c>
      <c r="H50" s="40">
        <f t="shared" si="1"/>
        <v>108</v>
      </c>
      <c r="I50" s="40"/>
      <c r="J50" s="13"/>
    </row>
    <row r="51" spans="1:10" x14ac:dyDescent="0.45">
      <c r="A51" s="5" t="s">
        <v>60</v>
      </c>
      <c r="B51" s="21">
        <v>1390</v>
      </c>
      <c r="C51" s="3" t="s">
        <v>711</v>
      </c>
      <c r="D51" s="3"/>
      <c r="E51" s="3" t="s">
        <v>774</v>
      </c>
      <c r="F51" s="7" t="s">
        <v>2</v>
      </c>
      <c r="G51" s="4" t="s">
        <v>3</v>
      </c>
      <c r="H51" s="40">
        <f t="shared" si="1"/>
        <v>108</v>
      </c>
      <c r="I51" s="40"/>
      <c r="J51" s="13"/>
    </row>
    <row r="52" spans="1:10" x14ac:dyDescent="0.45">
      <c r="A52" s="5" t="s">
        <v>60</v>
      </c>
      <c r="B52" s="21">
        <v>1391</v>
      </c>
      <c r="C52" s="3" t="s">
        <v>711</v>
      </c>
      <c r="D52" s="3"/>
      <c r="E52" s="3" t="s">
        <v>774</v>
      </c>
      <c r="F52" s="7" t="s">
        <v>85</v>
      </c>
      <c r="G52" s="4" t="s">
        <v>86</v>
      </c>
      <c r="H52" s="40">
        <f t="shared" si="1"/>
        <v>108</v>
      </c>
      <c r="I52" s="40"/>
      <c r="J52" s="13"/>
    </row>
    <row r="53" spans="1:10" x14ac:dyDescent="0.45">
      <c r="A53" s="5" t="s">
        <v>60</v>
      </c>
      <c r="B53" s="21">
        <v>1392</v>
      </c>
      <c r="C53" s="3" t="s">
        <v>711</v>
      </c>
      <c r="D53" s="3"/>
      <c r="E53" s="3" t="s">
        <v>774</v>
      </c>
      <c r="F53" s="7" t="s">
        <v>87</v>
      </c>
      <c r="G53" s="4" t="s">
        <v>88</v>
      </c>
      <c r="H53" s="40">
        <f t="shared" si="1"/>
        <v>108</v>
      </c>
      <c r="I53" s="40"/>
      <c r="J53" s="13"/>
    </row>
    <row r="54" spans="1:10" x14ac:dyDescent="0.45">
      <c r="A54" s="5" t="s">
        <v>65</v>
      </c>
      <c r="B54" s="21">
        <v>1395</v>
      </c>
      <c r="C54" s="3" t="s">
        <v>711</v>
      </c>
      <c r="D54" s="3" t="s">
        <v>713</v>
      </c>
      <c r="E54" s="3"/>
      <c r="F54" s="7" t="s">
        <v>11</v>
      </c>
      <c r="G54" s="4" t="s">
        <v>12</v>
      </c>
      <c r="H54" s="40">
        <f t="shared" si="1"/>
        <v>108</v>
      </c>
      <c r="I54" s="40"/>
      <c r="J54" s="13"/>
    </row>
    <row r="55" spans="1:10" x14ac:dyDescent="0.45">
      <c r="A55" s="5" t="s">
        <v>21</v>
      </c>
      <c r="B55" s="21">
        <v>1396</v>
      </c>
      <c r="C55" s="3" t="s">
        <v>711</v>
      </c>
      <c r="D55" s="3" t="s">
        <v>713</v>
      </c>
      <c r="E55" s="3"/>
      <c r="F55" s="7" t="s">
        <v>905</v>
      </c>
      <c r="G55" s="4" t="s">
        <v>904</v>
      </c>
      <c r="H55" s="40">
        <f t="shared" si="1"/>
        <v>108</v>
      </c>
      <c r="I55" s="40"/>
      <c r="J55" s="13"/>
    </row>
    <row r="56" spans="1:10" x14ac:dyDescent="0.45">
      <c r="A56" s="5" t="s">
        <v>89</v>
      </c>
      <c r="B56" s="21">
        <v>1400</v>
      </c>
      <c r="C56" s="3" t="s">
        <v>711</v>
      </c>
      <c r="D56" s="3" t="s">
        <v>713</v>
      </c>
      <c r="E56" s="3"/>
      <c r="F56" s="7" t="s">
        <v>90</v>
      </c>
      <c r="G56" s="4" t="s">
        <v>91</v>
      </c>
      <c r="H56" s="40">
        <f t="shared" si="1"/>
        <v>108</v>
      </c>
      <c r="I56" s="40"/>
      <c r="J56" s="13"/>
    </row>
    <row r="57" spans="1:10" x14ac:dyDescent="0.45">
      <c r="A57" s="5" t="s">
        <v>89</v>
      </c>
      <c r="B57" s="21">
        <v>1403</v>
      </c>
      <c r="C57" s="3" t="s">
        <v>711</v>
      </c>
      <c r="D57" s="3"/>
      <c r="E57" s="3"/>
      <c r="F57" s="7" t="s">
        <v>92</v>
      </c>
      <c r="G57" s="4" t="s">
        <v>93</v>
      </c>
      <c r="H57" s="40">
        <f t="shared" si="1"/>
        <v>108</v>
      </c>
      <c r="I57" s="40"/>
      <c r="J57" s="13"/>
    </row>
    <row r="58" spans="1:10" x14ac:dyDescent="0.45">
      <c r="A58" s="5" t="s">
        <v>89</v>
      </c>
      <c r="B58" s="21">
        <v>1404</v>
      </c>
      <c r="C58" s="3" t="s">
        <v>711</v>
      </c>
      <c r="D58" s="3"/>
      <c r="E58" s="3"/>
      <c r="F58" s="7" t="s">
        <v>94</v>
      </c>
      <c r="G58" s="4" t="s">
        <v>95</v>
      </c>
      <c r="H58" s="40">
        <f t="shared" si="1"/>
        <v>108</v>
      </c>
      <c r="I58" s="40"/>
      <c r="J58" s="13"/>
    </row>
    <row r="59" spans="1:10" x14ac:dyDescent="0.45">
      <c r="A59" s="5" t="s">
        <v>96</v>
      </c>
      <c r="B59" s="21">
        <v>1411</v>
      </c>
      <c r="C59" s="3" t="s">
        <v>711</v>
      </c>
      <c r="D59" s="3" t="s">
        <v>713</v>
      </c>
      <c r="E59" s="3"/>
      <c r="F59" s="7" t="s">
        <v>2</v>
      </c>
      <c r="G59" s="4" t="s">
        <v>3</v>
      </c>
      <c r="H59" s="40">
        <f t="shared" si="1"/>
        <v>108</v>
      </c>
      <c r="I59" s="40"/>
      <c r="J59" s="13"/>
    </row>
    <row r="60" spans="1:10" x14ac:dyDescent="0.45">
      <c r="A60" s="5" t="s">
        <v>97</v>
      </c>
      <c r="B60" s="21">
        <v>1434</v>
      </c>
      <c r="C60" s="3" t="s">
        <v>711</v>
      </c>
      <c r="D60" s="3"/>
      <c r="E60" s="3"/>
      <c r="F60" s="7" t="s">
        <v>98</v>
      </c>
      <c r="G60" s="4" t="s">
        <v>99</v>
      </c>
      <c r="H60" s="40">
        <f t="shared" si="1"/>
        <v>108</v>
      </c>
      <c r="I60" s="40"/>
      <c r="J60" s="13"/>
    </row>
    <row r="61" spans="1:10" x14ac:dyDescent="0.45">
      <c r="A61" s="5" t="s">
        <v>97</v>
      </c>
      <c r="B61" s="21">
        <v>1435</v>
      </c>
      <c r="C61" s="3" t="s">
        <v>711</v>
      </c>
      <c r="D61" s="3"/>
      <c r="E61" s="3"/>
      <c r="F61" s="7" t="s">
        <v>100</v>
      </c>
      <c r="G61" s="4" t="s">
        <v>101</v>
      </c>
      <c r="H61" s="40">
        <f t="shared" si="1"/>
        <v>108</v>
      </c>
      <c r="I61" s="40"/>
      <c r="J61" s="13"/>
    </row>
    <row r="62" spans="1:10" x14ac:dyDescent="0.45">
      <c r="A62" s="5" t="s">
        <v>102</v>
      </c>
      <c r="B62" s="21">
        <v>1483</v>
      </c>
      <c r="C62" s="3" t="s">
        <v>711</v>
      </c>
      <c r="D62" s="3"/>
      <c r="E62" s="3"/>
      <c r="F62" s="7" t="s">
        <v>103</v>
      </c>
      <c r="G62" s="4" t="s">
        <v>104</v>
      </c>
      <c r="H62" s="40">
        <f t="shared" si="1"/>
        <v>108</v>
      </c>
      <c r="I62" s="40"/>
      <c r="J62" s="13"/>
    </row>
    <row r="63" spans="1:10" x14ac:dyDescent="0.45">
      <c r="A63" s="5" t="s">
        <v>60</v>
      </c>
      <c r="B63" s="21">
        <v>1594</v>
      </c>
      <c r="C63" s="3" t="s">
        <v>711</v>
      </c>
      <c r="D63" s="3"/>
      <c r="E63" s="3" t="s">
        <v>774</v>
      </c>
      <c r="F63" s="7" t="s">
        <v>105</v>
      </c>
      <c r="G63" s="4" t="s">
        <v>106</v>
      </c>
      <c r="H63" s="40">
        <f t="shared" si="1"/>
        <v>108</v>
      </c>
      <c r="I63" s="40"/>
      <c r="J63" s="13"/>
    </row>
    <row r="64" spans="1:10" x14ac:dyDescent="0.45">
      <c r="A64" s="5" t="s">
        <v>107</v>
      </c>
      <c r="B64" s="21">
        <v>1601</v>
      </c>
      <c r="C64" s="3" t="s">
        <v>711</v>
      </c>
      <c r="D64" s="3"/>
      <c r="E64" s="3"/>
      <c r="F64" s="7" t="s">
        <v>108</v>
      </c>
      <c r="G64" s="4" t="s">
        <v>109</v>
      </c>
      <c r="H64" s="40">
        <f t="shared" si="1"/>
        <v>108</v>
      </c>
      <c r="I64" s="40"/>
      <c r="J64" s="13"/>
    </row>
    <row r="65" spans="1:10" x14ac:dyDescent="0.45">
      <c r="A65" s="5" t="s">
        <v>110</v>
      </c>
      <c r="B65" s="21">
        <v>1682</v>
      </c>
      <c r="C65" s="3" t="s">
        <v>711</v>
      </c>
      <c r="D65" s="3" t="s">
        <v>713</v>
      </c>
      <c r="E65" s="3"/>
      <c r="F65" s="7" t="s">
        <v>111</v>
      </c>
      <c r="G65" s="4" t="s">
        <v>112</v>
      </c>
      <c r="H65" s="40">
        <f t="shared" si="1"/>
        <v>108</v>
      </c>
      <c r="I65" s="40"/>
      <c r="J65" s="13"/>
    </row>
    <row r="66" spans="1:10" x14ac:dyDescent="0.45">
      <c r="A66" s="5" t="s">
        <v>113</v>
      </c>
      <c r="B66" s="21">
        <v>1694</v>
      </c>
      <c r="C66" s="3" t="s">
        <v>711</v>
      </c>
      <c r="D66" s="3" t="s">
        <v>713</v>
      </c>
      <c r="E66" s="3"/>
      <c r="F66" s="7" t="s">
        <v>114</v>
      </c>
      <c r="G66" s="4" t="s">
        <v>115</v>
      </c>
      <c r="H66" s="40">
        <f t="shared" si="1"/>
        <v>108</v>
      </c>
      <c r="I66" s="40"/>
      <c r="J66" s="13"/>
    </row>
    <row r="67" spans="1:10" x14ac:dyDescent="0.45">
      <c r="A67" s="5" t="s">
        <v>116</v>
      </c>
      <c r="B67" s="21">
        <v>1843</v>
      </c>
      <c r="C67" s="3" t="s">
        <v>711</v>
      </c>
      <c r="D67" s="3" t="s">
        <v>713</v>
      </c>
      <c r="E67" s="3"/>
      <c r="F67" s="7" t="s">
        <v>117</v>
      </c>
      <c r="G67" s="4" t="s">
        <v>118</v>
      </c>
      <c r="H67" s="40">
        <f t="shared" si="1"/>
        <v>108</v>
      </c>
      <c r="I67" s="40"/>
      <c r="J67" s="13"/>
    </row>
    <row r="68" spans="1:10" x14ac:dyDescent="0.45">
      <c r="A68" s="5" t="s">
        <v>119</v>
      </c>
      <c r="B68" s="21">
        <v>1854</v>
      </c>
      <c r="C68" s="3" t="s">
        <v>711</v>
      </c>
      <c r="D68" s="3" t="s">
        <v>713</v>
      </c>
      <c r="E68" s="3"/>
      <c r="F68" s="7" t="s">
        <v>120</v>
      </c>
      <c r="G68" s="4" t="s">
        <v>121</v>
      </c>
      <c r="H68" s="40">
        <f t="shared" si="1"/>
        <v>108</v>
      </c>
      <c r="I68" s="40"/>
      <c r="J68" s="13"/>
    </row>
    <row r="69" spans="1:10" x14ac:dyDescent="0.45">
      <c r="A69" s="5" t="s">
        <v>60</v>
      </c>
      <c r="B69" s="21">
        <v>1856</v>
      </c>
      <c r="C69" s="3" t="s">
        <v>711</v>
      </c>
      <c r="D69" s="3"/>
      <c r="E69" s="3" t="s">
        <v>774</v>
      </c>
      <c r="F69" s="7" t="s">
        <v>114</v>
      </c>
      <c r="G69" s="4" t="s">
        <v>115</v>
      </c>
      <c r="H69" s="40">
        <f t="shared" si="1"/>
        <v>108</v>
      </c>
      <c r="I69" s="40"/>
      <c r="J69" s="13"/>
    </row>
    <row r="70" spans="1:10" x14ac:dyDescent="0.45">
      <c r="A70" s="5" t="s">
        <v>934</v>
      </c>
      <c r="B70" s="21">
        <v>1862</v>
      </c>
      <c r="C70" s="3" t="s">
        <v>711</v>
      </c>
      <c r="D70" s="3" t="s">
        <v>713</v>
      </c>
      <c r="E70" s="3"/>
      <c r="F70" s="7" t="s">
        <v>122</v>
      </c>
      <c r="G70" s="4" t="s">
        <v>123</v>
      </c>
      <c r="H70" s="40">
        <f t="shared" si="1"/>
        <v>108</v>
      </c>
      <c r="I70" s="40"/>
      <c r="J70" s="13"/>
    </row>
    <row r="71" spans="1:10" x14ac:dyDescent="0.45">
      <c r="A71" s="5" t="s">
        <v>60</v>
      </c>
      <c r="B71" s="21">
        <v>1974</v>
      </c>
      <c r="C71" s="3" t="s">
        <v>711</v>
      </c>
      <c r="D71" s="3"/>
      <c r="E71" s="3" t="s">
        <v>774</v>
      </c>
      <c r="F71" s="7" t="s">
        <v>25</v>
      </c>
      <c r="G71" s="4" t="s">
        <v>26</v>
      </c>
      <c r="H71" s="40">
        <f t="shared" si="1"/>
        <v>108</v>
      </c>
      <c r="I71" s="40"/>
      <c r="J71" s="13"/>
    </row>
    <row r="72" spans="1:10" x14ac:dyDescent="0.45">
      <c r="A72" s="5" t="s">
        <v>911</v>
      </c>
      <c r="B72" s="4">
        <v>3301</v>
      </c>
      <c r="C72" s="3" t="s">
        <v>709</v>
      </c>
      <c r="D72" s="3"/>
      <c r="E72" s="3"/>
      <c r="F72" s="7" t="s">
        <v>910</v>
      </c>
      <c r="G72" s="4" t="s">
        <v>909</v>
      </c>
      <c r="H72" s="40">
        <f>HYPERLINK("https://www.nite.go.jp/nbrc/catalogue/NBRCMediumDetailServlet?NO=000802",802)</f>
        <v>802</v>
      </c>
      <c r="I72" s="40"/>
      <c r="J72" s="13"/>
    </row>
    <row r="73" spans="1:10" x14ac:dyDescent="0.45">
      <c r="A73" s="5" t="s">
        <v>718</v>
      </c>
      <c r="B73" s="21">
        <v>3848</v>
      </c>
      <c r="C73" s="3" t="s">
        <v>709</v>
      </c>
      <c r="D73" s="3" t="s">
        <v>713</v>
      </c>
      <c r="E73" s="3" t="s">
        <v>775</v>
      </c>
      <c r="F73" s="7" t="s">
        <v>124</v>
      </c>
      <c r="G73" s="4" t="s">
        <v>746</v>
      </c>
      <c r="H73" s="40">
        <f>HYPERLINK("https://www.nite.go.jp/nbrc/catalogue/NBRCMediumDetailServlet?NO=000802",802)</f>
        <v>802</v>
      </c>
      <c r="I73" s="40"/>
      <c r="J73" s="13"/>
    </row>
    <row r="74" spans="1:10" x14ac:dyDescent="0.45">
      <c r="A74" s="12" t="s">
        <v>768</v>
      </c>
      <c r="B74" s="22">
        <v>3972</v>
      </c>
      <c r="C74" s="9" t="s">
        <v>769</v>
      </c>
      <c r="D74" s="3"/>
      <c r="E74" s="3" t="s">
        <v>774</v>
      </c>
      <c r="F74" s="9" t="s">
        <v>487</v>
      </c>
      <c r="G74" s="9" t="s">
        <v>770</v>
      </c>
      <c r="H74" s="41">
        <f>HYPERLINK("https://www.nite.go.jp/nbrc/catalogue/NBRCMediumDetailServlet?NO=000802",802)</f>
        <v>802</v>
      </c>
      <c r="I74" s="41"/>
      <c r="J74" s="9"/>
    </row>
    <row r="75" spans="1:10" x14ac:dyDescent="0.45">
      <c r="A75" s="5" t="s">
        <v>126</v>
      </c>
      <c r="B75" s="21">
        <v>4019</v>
      </c>
      <c r="C75" s="3" t="s">
        <v>710</v>
      </c>
      <c r="D75" s="3"/>
      <c r="E75" s="3"/>
      <c r="F75" s="7" t="s">
        <v>127</v>
      </c>
      <c r="G75" s="4" t="s">
        <v>758</v>
      </c>
      <c r="H75" s="40">
        <f>HYPERLINK("https://www.nite.go.jp/nbrc/catalogue/NBRCMediumDetailServlet?NO=000001",1)</f>
        <v>1</v>
      </c>
      <c r="I75" s="40"/>
      <c r="J75" s="13"/>
    </row>
    <row r="76" spans="1:10" x14ac:dyDescent="0.45">
      <c r="A76" s="5" t="s">
        <v>128</v>
      </c>
      <c r="B76" s="21">
        <v>4047</v>
      </c>
      <c r="C76" s="3" t="s">
        <v>710</v>
      </c>
      <c r="D76" s="3"/>
      <c r="E76" s="3"/>
      <c r="F76" s="7" t="s">
        <v>129</v>
      </c>
      <c r="G76" s="4" t="s">
        <v>130</v>
      </c>
      <c r="H76" s="40">
        <f>HYPERLINK("https://www.nite.go.jp/nbrc/catalogue/NBRCMediumDetailServlet?NO=000001",1)</f>
        <v>1</v>
      </c>
      <c r="I76" s="40"/>
      <c r="J76" s="13"/>
    </row>
    <row r="77" spans="1:10" x14ac:dyDescent="0.45">
      <c r="A77" s="5" t="s">
        <v>131</v>
      </c>
      <c r="B77" s="21">
        <v>4062</v>
      </c>
      <c r="C77" s="3" t="s">
        <v>710</v>
      </c>
      <c r="D77" s="3"/>
      <c r="E77" s="3"/>
      <c r="F77" s="7" t="s">
        <v>129</v>
      </c>
      <c r="G77" s="4" t="s">
        <v>130</v>
      </c>
      <c r="H77" s="40">
        <f>HYPERLINK("https://www.nite.go.jp/nbrc/catalogue/NBRCMediumDetailServlet?NO=000001",1)</f>
        <v>1</v>
      </c>
      <c r="I77" s="40"/>
      <c r="J77" s="13"/>
    </row>
    <row r="78" spans="1:10" x14ac:dyDescent="0.45">
      <c r="A78" s="5" t="s">
        <v>132</v>
      </c>
      <c r="B78" s="21">
        <v>5971</v>
      </c>
      <c r="C78" s="3" t="s">
        <v>710</v>
      </c>
      <c r="D78" s="3"/>
      <c r="E78" s="3"/>
      <c r="F78" s="7" t="s">
        <v>74</v>
      </c>
      <c r="G78" s="4" t="s">
        <v>75</v>
      </c>
      <c r="H78" s="40">
        <f>HYPERLINK("https://www.nite.go.jp/nbrc/catalogue/NBRCMediumDetailServlet?NO=000006",6)</f>
        <v>6</v>
      </c>
      <c r="I78" s="40"/>
      <c r="J78" s="13"/>
    </row>
    <row r="79" spans="1:10" x14ac:dyDescent="0.45">
      <c r="A79" s="5" t="s">
        <v>133</v>
      </c>
      <c r="B79" s="21">
        <v>5975</v>
      </c>
      <c r="C79" s="3" t="s">
        <v>710</v>
      </c>
      <c r="D79" s="3"/>
      <c r="E79" s="3"/>
      <c r="F79" s="7" t="s">
        <v>74</v>
      </c>
      <c r="G79" s="4" t="s">
        <v>75</v>
      </c>
      <c r="H79" s="40">
        <f>HYPERLINK("https://www.nite.go.jp/nbrc/catalogue/NBRCMediumDetailServlet?NO=000006",6)</f>
        <v>6</v>
      </c>
      <c r="I79" s="40"/>
      <c r="J79" s="13"/>
    </row>
    <row r="80" spans="1:10" x14ac:dyDescent="0.45">
      <c r="A80" s="5" t="s">
        <v>134</v>
      </c>
      <c r="B80" s="21">
        <v>6421</v>
      </c>
      <c r="C80" s="3" t="s">
        <v>710</v>
      </c>
      <c r="D80" s="3" t="s">
        <v>713</v>
      </c>
      <c r="E80" s="3" t="s">
        <v>774</v>
      </c>
      <c r="F80" s="7" t="s">
        <v>135</v>
      </c>
      <c r="G80" s="4" t="s">
        <v>136</v>
      </c>
      <c r="H80" s="40">
        <f>HYPERLINK("https://www.nite.go.jp/nbrc/catalogue/NBRCMediumDetailServlet?NO=000006",6)</f>
        <v>6</v>
      </c>
      <c r="I80" s="40"/>
      <c r="J80" s="13"/>
    </row>
    <row r="81" spans="1:10" x14ac:dyDescent="0.45">
      <c r="A81" s="5" t="s">
        <v>137</v>
      </c>
      <c r="B81" s="21">
        <v>7583</v>
      </c>
      <c r="C81" s="3" t="s">
        <v>710</v>
      </c>
      <c r="D81" s="3" t="s">
        <v>713</v>
      </c>
      <c r="E81" s="3"/>
      <c r="F81" s="7" t="s">
        <v>138</v>
      </c>
      <c r="G81" s="4" t="s">
        <v>80</v>
      </c>
      <c r="H81" s="40">
        <f>HYPERLINK("https://www.nite.go.jp/nbrc/catalogue/NBRCMediumDetailServlet?NO=000001",1)</f>
        <v>1</v>
      </c>
      <c r="I81" s="40"/>
      <c r="J81" s="13"/>
    </row>
    <row r="82" spans="1:10" x14ac:dyDescent="0.45">
      <c r="A82" s="5" t="s">
        <v>139</v>
      </c>
      <c r="B82" s="21">
        <v>8503</v>
      </c>
      <c r="C82" s="3" t="s">
        <v>710</v>
      </c>
      <c r="D82" s="3"/>
      <c r="E82" s="3"/>
      <c r="F82" s="7" t="s">
        <v>140</v>
      </c>
      <c r="G82" s="4" t="s">
        <v>141</v>
      </c>
      <c r="H82" s="40">
        <f>HYPERLINK("https://www.nite.go.jp/nbrc/catalogue/NBRCMediumDetailServlet?NO=000001",1)</f>
        <v>1</v>
      </c>
      <c r="I82" s="40"/>
      <c r="J82" s="13"/>
    </row>
    <row r="83" spans="1:10" x14ac:dyDescent="0.45">
      <c r="A83" s="5" t="s">
        <v>142</v>
      </c>
      <c r="B83" s="21">
        <v>8788</v>
      </c>
      <c r="C83" s="3" t="s">
        <v>710</v>
      </c>
      <c r="D83" s="3"/>
      <c r="E83" s="3"/>
      <c r="F83" s="7" t="s">
        <v>143</v>
      </c>
      <c r="G83" s="4" t="s">
        <v>144</v>
      </c>
      <c r="H83" s="40">
        <f>HYPERLINK("https://www.nite.go.jp/nbrc/catalogue/NBRCMediumDetailServlet?NO=000001",1)</f>
        <v>1</v>
      </c>
      <c r="I83" s="40"/>
      <c r="J83" s="13"/>
    </row>
    <row r="84" spans="1:10" x14ac:dyDescent="0.45">
      <c r="A84" s="5" t="s">
        <v>145</v>
      </c>
      <c r="B84" s="21">
        <v>9579</v>
      </c>
      <c r="C84" s="3" t="s">
        <v>710</v>
      </c>
      <c r="D84" s="3"/>
      <c r="E84" s="3"/>
      <c r="F84" s="7" t="s">
        <v>30</v>
      </c>
      <c r="G84" s="4" t="s">
        <v>31</v>
      </c>
      <c r="H84" s="40">
        <f>HYPERLINK("https://www.nite.go.jp/nbrc/catalogue/NBRCMediumDetailServlet?NO=000001",1)</f>
        <v>1</v>
      </c>
      <c r="I84" s="40"/>
      <c r="J84" s="13"/>
    </row>
    <row r="85" spans="1:10" x14ac:dyDescent="0.45">
      <c r="A85" s="5" t="s">
        <v>146</v>
      </c>
      <c r="B85" s="21">
        <v>10053</v>
      </c>
      <c r="C85" s="3" t="s">
        <v>711</v>
      </c>
      <c r="D85" s="3"/>
      <c r="E85" s="3"/>
      <c r="F85" s="7" t="s">
        <v>147</v>
      </c>
      <c r="G85" s="4" t="s">
        <v>148</v>
      </c>
      <c r="H85" s="40">
        <f t="shared" ref="H85:H101" si="2">HYPERLINK("https://www.nite.go.jp/nbrc/catalogue/NBRCMediumDetailServlet?NO=000108",108)</f>
        <v>108</v>
      </c>
      <c r="I85" s="40"/>
      <c r="J85" s="13"/>
    </row>
    <row r="86" spans="1:10" x14ac:dyDescent="0.45">
      <c r="A86" s="5" t="s">
        <v>149</v>
      </c>
      <c r="B86" s="21">
        <v>10058</v>
      </c>
      <c r="C86" s="3" t="s">
        <v>711</v>
      </c>
      <c r="D86" s="3"/>
      <c r="E86" s="3"/>
      <c r="F86" s="7" t="s">
        <v>11</v>
      </c>
      <c r="G86" s="4" t="s">
        <v>12</v>
      </c>
      <c r="H86" s="40">
        <f t="shared" si="2"/>
        <v>108</v>
      </c>
      <c r="I86" s="40"/>
      <c r="J86" s="13"/>
    </row>
    <row r="87" spans="1:10" x14ac:dyDescent="0.45">
      <c r="A87" s="5" t="s">
        <v>150</v>
      </c>
      <c r="B87" s="21">
        <v>10131</v>
      </c>
      <c r="C87" s="3" t="s">
        <v>711</v>
      </c>
      <c r="D87" s="3" t="s">
        <v>713</v>
      </c>
      <c r="E87" s="3"/>
      <c r="F87" s="7" t="s">
        <v>151</v>
      </c>
      <c r="G87" s="4" t="s">
        <v>80</v>
      </c>
      <c r="H87" s="40">
        <f t="shared" si="2"/>
        <v>108</v>
      </c>
      <c r="I87" s="40"/>
      <c r="J87" s="13"/>
    </row>
    <row r="88" spans="1:10" x14ac:dyDescent="0.45">
      <c r="A88" s="5" t="s">
        <v>152</v>
      </c>
      <c r="B88" s="21">
        <v>10198</v>
      </c>
      <c r="C88" s="3" t="s">
        <v>711</v>
      </c>
      <c r="D88" s="3"/>
      <c r="E88" s="3"/>
      <c r="F88" s="7" t="s">
        <v>153</v>
      </c>
      <c r="G88" s="4" t="s">
        <v>154</v>
      </c>
      <c r="H88" s="40">
        <f t="shared" si="2"/>
        <v>108</v>
      </c>
      <c r="I88" s="40"/>
      <c r="J88" s="13"/>
    </row>
    <row r="89" spans="1:10" x14ac:dyDescent="0.45">
      <c r="A89" s="5" t="s">
        <v>155</v>
      </c>
      <c r="B89" s="21">
        <v>10238</v>
      </c>
      <c r="C89" s="3" t="s">
        <v>711</v>
      </c>
      <c r="D89" s="3" t="s">
        <v>713</v>
      </c>
      <c r="E89" s="3"/>
      <c r="F89" s="7" t="s">
        <v>156</v>
      </c>
      <c r="G89" s="4" t="s">
        <v>31</v>
      </c>
      <c r="H89" s="40">
        <f t="shared" si="2"/>
        <v>108</v>
      </c>
      <c r="I89" s="40"/>
      <c r="J89" s="13"/>
    </row>
    <row r="90" spans="1:10" x14ac:dyDescent="0.45">
      <c r="A90" s="5" t="s">
        <v>89</v>
      </c>
      <c r="B90" s="21">
        <v>10241</v>
      </c>
      <c r="C90" s="3" t="s">
        <v>711</v>
      </c>
      <c r="D90" s="3"/>
      <c r="E90" s="3"/>
      <c r="F90" s="7" t="s">
        <v>157</v>
      </c>
      <c r="G90" s="4" t="s">
        <v>158</v>
      </c>
      <c r="H90" s="40">
        <f t="shared" si="2"/>
        <v>108</v>
      </c>
      <c r="I90" s="40"/>
      <c r="J90" s="13"/>
    </row>
    <row r="91" spans="1:10" x14ac:dyDescent="0.45">
      <c r="A91" s="5" t="s">
        <v>159</v>
      </c>
      <c r="B91" s="21">
        <v>10279</v>
      </c>
      <c r="C91" s="3" t="s">
        <v>711</v>
      </c>
      <c r="D91" s="3" t="s">
        <v>713</v>
      </c>
      <c r="E91" s="3"/>
      <c r="F91" s="7" t="s">
        <v>11</v>
      </c>
      <c r="G91" s="4" t="s">
        <v>12</v>
      </c>
      <c r="H91" s="40">
        <f t="shared" si="2"/>
        <v>108</v>
      </c>
      <c r="I91" s="40"/>
      <c r="J91" s="13"/>
    </row>
    <row r="92" spans="1:10" x14ac:dyDescent="0.45">
      <c r="A92" s="5" t="s">
        <v>160</v>
      </c>
      <c r="B92" s="21">
        <v>10301</v>
      </c>
      <c r="C92" s="3" t="s">
        <v>711</v>
      </c>
      <c r="D92" s="3" t="s">
        <v>713</v>
      </c>
      <c r="E92" s="3"/>
      <c r="F92" s="7" t="s">
        <v>11</v>
      </c>
      <c r="G92" s="4" t="s">
        <v>12</v>
      </c>
      <c r="H92" s="40">
        <f t="shared" si="2"/>
        <v>108</v>
      </c>
      <c r="I92" s="40"/>
      <c r="J92" s="13"/>
    </row>
    <row r="93" spans="1:10" x14ac:dyDescent="0.45">
      <c r="A93" s="5" t="s">
        <v>161</v>
      </c>
      <c r="B93" s="21">
        <v>10303</v>
      </c>
      <c r="C93" s="3" t="s">
        <v>711</v>
      </c>
      <c r="D93" s="3"/>
      <c r="E93" s="3"/>
      <c r="F93" s="7" t="s">
        <v>43</v>
      </c>
      <c r="G93" s="4" t="s">
        <v>44</v>
      </c>
      <c r="H93" s="40">
        <f t="shared" si="2"/>
        <v>108</v>
      </c>
      <c r="I93" s="40"/>
      <c r="J93" s="13"/>
    </row>
    <row r="94" spans="1:10" x14ac:dyDescent="0.45">
      <c r="A94" s="5" t="s">
        <v>161</v>
      </c>
      <c r="B94" s="21">
        <v>10304</v>
      </c>
      <c r="C94" s="3" t="s">
        <v>711</v>
      </c>
      <c r="D94" s="3"/>
      <c r="E94" s="3"/>
      <c r="F94" s="7" t="s">
        <v>43</v>
      </c>
      <c r="G94" s="4" t="s">
        <v>44</v>
      </c>
      <c r="H94" s="40">
        <f t="shared" si="2"/>
        <v>108</v>
      </c>
      <c r="I94" s="40"/>
      <c r="J94" s="13"/>
    </row>
    <row r="95" spans="1:10" x14ac:dyDescent="0.45">
      <c r="A95" s="5" t="s">
        <v>162</v>
      </c>
      <c r="B95" s="21">
        <v>10306</v>
      </c>
      <c r="C95" s="3" t="s">
        <v>711</v>
      </c>
      <c r="D95" s="3"/>
      <c r="E95" s="3"/>
      <c r="F95" s="7" t="s">
        <v>11</v>
      </c>
      <c r="G95" s="4" t="s">
        <v>12</v>
      </c>
      <c r="H95" s="40">
        <f t="shared" si="2"/>
        <v>108</v>
      </c>
      <c r="I95" s="40"/>
      <c r="J95" s="13"/>
    </row>
    <row r="96" spans="1:10" x14ac:dyDescent="0.45">
      <c r="A96" s="5" t="s">
        <v>163</v>
      </c>
      <c r="B96" s="21">
        <v>10317</v>
      </c>
      <c r="C96" s="3" t="s">
        <v>711</v>
      </c>
      <c r="D96" s="3" t="s">
        <v>713</v>
      </c>
      <c r="E96" s="3"/>
      <c r="F96" s="7" t="s">
        <v>11</v>
      </c>
      <c r="G96" s="4" t="s">
        <v>12</v>
      </c>
      <c r="H96" s="40">
        <f t="shared" si="2"/>
        <v>108</v>
      </c>
      <c r="I96" s="40"/>
      <c r="J96" s="13"/>
    </row>
    <row r="97" spans="1:10" x14ac:dyDescent="0.45">
      <c r="A97" s="5" t="s">
        <v>164</v>
      </c>
      <c r="B97" s="21">
        <v>10321</v>
      </c>
      <c r="C97" s="3" t="s">
        <v>711</v>
      </c>
      <c r="D97" s="3" t="s">
        <v>713</v>
      </c>
      <c r="E97" s="3"/>
      <c r="F97" s="7" t="s">
        <v>165</v>
      </c>
      <c r="G97" s="4" t="s">
        <v>166</v>
      </c>
      <c r="H97" s="40">
        <f t="shared" si="2"/>
        <v>108</v>
      </c>
      <c r="I97" s="40"/>
      <c r="J97" s="13"/>
    </row>
    <row r="98" spans="1:10" x14ac:dyDescent="0.45">
      <c r="A98" s="5" t="s">
        <v>167</v>
      </c>
      <c r="B98" s="21">
        <v>10325</v>
      </c>
      <c r="C98" s="3" t="s">
        <v>711</v>
      </c>
      <c r="D98" s="3"/>
      <c r="E98" s="3"/>
      <c r="F98" s="7" t="s">
        <v>168</v>
      </c>
      <c r="G98" s="4" t="s">
        <v>169</v>
      </c>
      <c r="H98" s="40">
        <f t="shared" si="2"/>
        <v>108</v>
      </c>
      <c r="I98" s="40"/>
      <c r="J98" s="13"/>
    </row>
    <row r="99" spans="1:10" x14ac:dyDescent="0.45">
      <c r="A99" s="5" t="s">
        <v>170</v>
      </c>
      <c r="B99" s="21">
        <v>10404</v>
      </c>
      <c r="C99" s="3" t="s">
        <v>711</v>
      </c>
      <c r="D99" s="3" t="s">
        <v>713</v>
      </c>
      <c r="E99" s="3"/>
      <c r="F99" s="7" t="s">
        <v>11</v>
      </c>
      <c r="G99" s="4" t="s">
        <v>12</v>
      </c>
      <c r="H99" s="40">
        <f t="shared" si="2"/>
        <v>108</v>
      </c>
      <c r="I99" s="40"/>
      <c r="J99" s="13"/>
    </row>
    <row r="100" spans="1:10" x14ac:dyDescent="0.45">
      <c r="A100" s="5" t="s">
        <v>171</v>
      </c>
      <c r="B100" s="21">
        <v>10565</v>
      </c>
      <c r="C100" s="3" t="s">
        <v>711</v>
      </c>
      <c r="D100" s="3" t="s">
        <v>713</v>
      </c>
      <c r="E100" s="3"/>
      <c r="F100" s="7" t="s">
        <v>172</v>
      </c>
      <c r="G100" s="4" t="s">
        <v>173</v>
      </c>
      <c r="H100" s="40">
        <f t="shared" si="2"/>
        <v>108</v>
      </c>
      <c r="I100" s="40"/>
      <c r="J100" s="13"/>
    </row>
    <row r="101" spans="1:10" x14ac:dyDescent="0.45">
      <c r="A101" s="5" t="s">
        <v>174</v>
      </c>
      <c r="B101" s="21">
        <v>10686</v>
      </c>
      <c r="C101" s="3" t="s">
        <v>711</v>
      </c>
      <c r="D101" s="3"/>
      <c r="E101" s="3"/>
      <c r="F101" s="7" t="s">
        <v>74</v>
      </c>
      <c r="G101" s="4" t="s">
        <v>75</v>
      </c>
      <c r="H101" s="40">
        <f t="shared" si="2"/>
        <v>108</v>
      </c>
      <c r="I101" s="40"/>
      <c r="J101" s="13"/>
    </row>
    <row r="102" spans="1:10" x14ac:dyDescent="0.45">
      <c r="A102" s="5" t="s">
        <v>29</v>
      </c>
      <c r="B102" s="21">
        <v>10820</v>
      </c>
      <c r="C102" s="3" t="s">
        <v>711</v>
      </c>
      <c r="D102" s="3"/>
      <c r="E102" s="3"/>
      <c r="F102" s="7" t="s">
        <v>30</v>
      </c>
      <c r="G102" s="4" t="s">
        <v>31</v>
      </c>
      <c r="H102" s="40">
        <f>HYPERLINK("https://www.nite.go.jp/nbrc/catalogue/NBRCMediumDetailServlet?NO=000118",118)</f>
        <v>118</v>
      </c>
      <c r="I102" s="40"/>
      <c r="J102" s="13"/>
    </row>
    <row r="103" spans="1:10" x14ac:dyDescent="0.45">
      <c r="A103" s="5" t="s">
        <v>175</v>
      </c>
      <c r="B103" s="21">
        <v>10824</v>
      </c>
      <c r="C103" s="3" t="s">
        <v>711</v>
      </c>
      <c r="D103" s="3" t="s">
        <v>713</v>
      </c>
      <c r="E103" s="3"/>
      <c r="F103" s="7" t="s">
        <v>176</v>
      </c>
      <c r="G103" s="4" t="s">
        <v>177</v>
      </c>
      <c r="H103" s="40">
        <f>HYPERLINK("https://www.nite.go.jp/nbrc/catalogue/NBRCMediumDetailServlet?NO=000117",117)</f>
        <v>117</v>
      </c>
      <c r="I103" s="40"/>
      <c r="J103" s="13"/>
    </row>
    <row r="104" spans="1:10" x14ac:dyDescent="0.45">
      <c r="A104" s="5" t="s">
        <v>178</v>
      </c>
      <c r="B104" s="21">
        <v>10844</v>
      </c>
      <c r="C104" s="3" t="s">
        <v>711</v>
      </c>
      <c r="D104" s="3"/>
      <c r="E104" s="3"/>
      <c r="F104" s="7" t="s">
        <v>179</v>
      </c>
      <c r="G104" s="4" t="s">
        <v>180</v>
      </c>
      <c r="H104" s="40">
        <f>HYPERLINK("https://www.nite.go.jp/nbrc/catalogue/NBRCMediumDetailServlet?NO=000108",108)</f>
        <v>108</v>
      </c>
      <c r="I104" s="40"/>
      <c r="J104" s="13"/>
    </row>
    <row r="105" spans="1:10" x14ac:dyDescent="0.45">
      <c r="A105" s="5" t="s">
        <v>181</v>
      </c>
      <c r="B105" s="21">
        <v>10870</v>
      </c>
      <c r="C105" s="3" t="s">
        <v>711</v>
      </c>
      <c r="D105" s="3"/>
      <c r="E105" s="3"/>
      <c r="F105" s="7" t="s">
        <v>15</v>
      </c>
      <c r="G105" s="4" t="s">
        <v>16</v>
      </c>
      <c r="H105" s="40">
        <f>HYPERLINK("https://www.nite.go.jp/nbrc/catalogue/NBRCMediumDetailServlet?NO=000112",112)</f>
        <v>112</v>
      </c>
      <c r="I105" s="40"/>
      <c r="J105" s="13"/>
    </row>
    <row r="106" spans="1:10" x14ac:dyDescent="0.45">
      <c r="A106" s="12" t="s">
        <v>771</v>
      </c>
      <c r="B106" s="22">
        <v>12010</v>
      </c>
      <c r="C106" s="9" t="s">
        <v>769</v>
      </c>
      <c r="D106" s="3"/>
      <c r="E106" s="3" t="s">
        <v>774</v>
      </c>
      <c r="F106" s="9" t="s">
        <v>487</v>
      </c>
      <c r="G106" s="9" t="s">
        <v>770</v>
      </c>
      <c r="H106" s="41">
        <f>HYPERLINK("https://www.nite.go.jp/nbrc/catalogue/NBRCMediumDetailServlet?NO=000802",802)</f>
        <v>802</v>
      </c>
      <c r="I106" s="41"/>
      <c r="J106" s="9"/>
    </row>
    <row r="107" spans="1:10" x14ac:dyDescent="0.45">
      <c r="A107" s="5" t="s">
        <v>182</v>
      </c>
      <c r="B107" s="21">
        <v>12072</v>
      </c>
      <c r="C107" s="3" t="s">
        <v>709</v>
      </c>
      <c r="D107" s="3"/>
      <c r="E107" s="3"/>
      <c r="F107" s="7" t="s">
        <v>183</v>
      </c>
      <c r="G107" s="4" t="s">
        <v>184</v>
      </c>
      <c r="H107" s="40">
        <f>HYPERLINK("https://www.nite.go.jp/nbrc/catalogue/NBRCMediumDetailServlet?NO=000802",802)</f>
        <v>802</v>
      </c>
      <c r="I107" s="40"/>
      <c r="J107" s="13"/>
    </row>
    <row r="108" spans="1:10" x14ac:dyDescent="0.45">
      <c r="A108" s="5" t="s">
        <v>185</v>
      </c>
      <c r="B108" s="21">
        <v>12119</v>
      </c>
      <c r="C108" s="3" t="s">
        <v>709</v>
      </c>
      <c r="D108" s="3" t="s">
        <v>713</v>
      </c>
      <c r="E108" s="3"/>
      <c r="F108" s="7" t="s">
        <v>186</v>
      </c>
      <c r="G108" s="4" t="s">
        <v>187</v>
      </c>
      <c r="H108" s="40">
        <f>HYPERLINK("https://www.nite.go.jp/nbrc/catalogue/NBRCMediumDetailServlet?NO=000231",231)</f>
        <v>231</v>
      </c>
      <c r="I108" s="40"/>
      <c r="J108" s="13"/>
    </row>
    <row r="109" spans="1:10" x14ac:dyDescent="0.45">
      <c r="A109" s="5" t="s">
        <v>188</v>
      </c>
      <c r="B109" s="21">
        <v>12531</v>
      </c>
      <c r="C109" s="3" t="s">
        <v>709</v>
      </c>
      <c r="D109" s="3" t="s">
        <v>713</v>
      </c>
      <c r="E109" s="3" t="s">
        <v>774</v>
      </c>
      <c r="F109" s="7" t="s">
        <v>189</v>
      </c>
      <c r="G109" s="4" t="s">
        <v>190</v>
      </c>
      <c r="H109" s="40">
        <f>HYPERLINK("https://www.nite.go.jp/nbrc/catalogue/NBRCMediumDetailServlet?NO=000230",230)</f>
        <v>230</v>
      </c>
      <c r="I109" s="40"/>
      <c r="J109" s="13"/>
    </row>
    <row r="110" spans="1:10" x14ac:dyDescent="0.45">
      <c r="A110" s="5" t="s">
        <v>188</v>
      </c>
      <c r="B110" s="21">
        <v>12532</v>
      </c>
      <c r="C110" s="3" t="s">
        <v>709</v>
      </c>
      <c r="D110" s="3"/>
      <c r="E110" s="3" t="s">
        <v>774</v>
      </c>
      <c r="F110" s="7" t="s">
        <v>191</v>
      </c>
      <c r="G110" s="4" t="s">
        <v>192</v>
      </c>
      <c r="H110" s="40">
        <f>HYPERLINK("https://www.nite.go.jp/nbrc/catalogue/NBRCMediumDetailServlet?NO=000230",230)</f>
        <v>230</v>
      </c>
      <c r="I110" s="40"/>
      <c r="J110" s="13"/>
    </row>
    <row r="111" spans="1:10" x14ac:dyDescent="0.45">
      <c r="A111" s="5" t="s">
        <v>193</v>
      </c>
      <c r="B111" s="21">
        <v>12535</v>
      </c>
      <c r="C111" s="3" t="s">
        <v>709</v>
      </c>
      <c r="D111" s="3" t="s">
        <v>713</v>
      </c>
      <c r="E111" s="3" t="s">
        <v>774</v>
      </c>
      <c r="F111" s="7" t="s">
        <v>194</v>
      </c>
      <c r="G111" s="4" t="s">
        <v>195</v>
      </c>
      <c r="H111" s="40">
        <f>HYPERLINK("https://www.nite.go.jp/nbrc/catalogue/NBRCMediumDetailServlet?NO=000325",325)</f>
        <v>325</v>
      </c>
      <c r="I111" s="40"/>
      <c r="J111" s="13"/>
    </row>
    <row r="112" spans="1:10" x14ac:dyDescent="0.45">
      <c r="A112" s="5" t="s">
        <v>196</v>
      </c>
      <c r="B112" s="21">
        <v>12582</v>
      </c>
      <c r="C112" s="3" t="s">
        <v>709</v>
      </c>
      <c r="D112" s="3"/>
      <c r="E112" s="3" t="s">
        <v>774</v>
      </c>
      <c r="F112" s="7" t="s">
        <v>156</v>
      </c>
      <c r="G112" s="4" t="s">
        <v>31</v>
      </c>
      <c r="H112" s="40">
        <f t="shared" ref="H112:H117" si="3">HYPERLINK("https://www.nite.go.jp/nbrc/catalogue/NBRCMediumDetailServlet?NO=000802",802)</f>
        <v>802</v>
      </c>
      <c r="I112" s="40"/>
      <c r="J112" s="13"/>
    </row>
    <row r="113" spans="1:10" x14ac:dyDescent="0.45">
      <c r="A113" s="5" t="s">
        <v>182</v>
      </c>
      <c r="B113" s="21">
        <v>12612</v>
      </c>
      <c r="C113" s="3" t="s">
        <v>709</v>
      </c>
      <c r="D113" s="3" t="s">
        <v>713</v>
      </c>
      <c r="E113" s="3"/>
      <c r="F113" s="7" t="s">
        <v>183</v>
      </c>
      <c r="G113" s="4" t="s">
        <v>184</v>
      </c>
      <c r="H113" s="40">
        <f t="shared" si="3"/>
        <v>802</v>
      </c>
      <c r="I113" s="40"/>
      <c r="J113" s="13"/>
    </row>
    <row r="114" spans="1:10" x14ac:dyDescent="0.45">
      <c r="A114" s="5" t="s">
        <v>197</v>
      </c>
      <c r="B114" s="21">
        <v>12684</v>
      </c>
      <c r="C114" s="3" t="s">
        <v>709</v>
      </c>
      <c r="D114" s="3"/>
      <c r="E114" s="3" t="s">
        <v>775</v>
      </c>
      <c r="F114" s="7" t="s">
        <v>120</v>
      </c>
      <c r="G114" s="4" t="s">
        <v>121</v>
      </c>
      <c r="H114" s="40">
        <f t="shared" si="3"/>
        <v>802</v>
      </c>
      <c r="I114" s="40"/>
      <c r="J114" s="13"/>
    </row>
    <row r="115" spans="1:10" x14ac:dyDescent="0.45">
      <c r="A115" s="5" t="s">
        <v>719</v>
      </c>
      <c r="B115" s="21">
        <v>13159</v>
      </c>
      <c r="C115" s="3" t="s">
        <v>709</v>
      </c>
      <c r="D115" s="3" t="s">
        <v>713</v>
      </c>
      <c r="E115" s="3" t="s">
        <v>774</v>
      </c>
      <c r="F115" s="7" t="s">
        <v>198</v>
      </c>
      <c r="G115" s="4" t="s">
        <v>199</v>
      </c>
      <c r="H115" s="40">
        <f t="shared" si="3"/>
        <v>802</v>
      </c>
      <c r="I115" s="40"/>
      <c r="J115" s="13"/>
    </row>
    <row r="116" spans="1:10" x14ac:dyDescent="0.45">
      <c r="A116" s="5" t="s">
        <v>196</v>
      </c>
      <c r="B116" s="21">
        <v>13275</v>
      </c>
      <c r="C116" s="3" t="s">
        <v>709</v>
      </c>
      <c r="D116" s="3"/>
      <c r="E116" s="3" t="s">
        <v>774</v>
      </c>
      <c r="F116" s="7" t="s">
        <v>744</v>
      </c>
      <c r="G116" s="4" t="s">
        <v>745</v>
      </c>
      <c r="H116" s="40">
        <f t="shared" si="3"/>
        <v>802</v>
      </c>
      <c r="I116" s="40"/>
      <c r="J116" s="13"/>
    </row>
    <row r="117" spans="1:10" x14ac:dyDescent="0.45">
      <c r="A117" s="5" t="s">
        <v>720</v>
      </c>
      <c r="B117" s="21">
        <v>13276</v>
      </c>
      <c r="C117" s="3" t="s">
        <v>709</v>
      </c>
      <c r="D117" s="3"/>
      <c r="E117" s="3" t="s">
        <v>774</v>
      </c>
      <c r="F117" s="7" t="s">
        <v>200</v>
      </c>
      <c r="G117" s="4" t="s">
        <v>201</v>
      </c>
      <c r="H117" s="40">
        <f t="shared" si="3"/>
        <v>802</v>
      </c>
      <c r="I117" s="40"/>
      <c r="J117" s="13"/>
    </row>
    <row r="118" spans="1:10" x14ac:dyDescent="0.45">
      <c r="A118" s="5" t="s">
        <v>202</v>
      </c>
      <c r="B118" s="21">
        <v>13360</v>
      </c>
      <c r="C118" s="3" t="s">
        <v>709</v>
      </c>
      <c r="D118" s="3" t="s">
        <v>713</v>
      </c>
      <c r="E118" s="3"/>
      <c r="F118" s="7" t="s">
        <v>203</v>
      </c>
      <c r="G118" s="4" t="s">
        <v>75</v>
      </c>
      <c r="H118" s="40">
        <f>HYPERLINK("https://www.nite.go.jp/nbrc/catalogue/NBRCMediumDetailServlet?NO=000231",231)</f>
        <v>231</v>
      </c>
      <c r="I118" s="40"/>
      <c r="J118" s="13"/>
    </row>
    <row r="119" spans="1:10" x14ac:dyDescent="0.45">
      <c r="A119" s="5" t="s">
        <v>204</v>
      </c>
      <c r="B119" s="21">
        <v>13391</v>
      </c>
      <c r="C119" s="3" t="s">
        <v>709</v>
      </c>
      <c r="D119" s="3"/>
      <c r="E119" s="3"/>
      <c r="F119" s="7" t="s">
        <v>205</v>
      </c>
      <c r="G119" s="4" t="s">
        <v>206</v>
      </c>
      <c r="H119" s="40">
        <f>HYPERLINK("https://www.nite.go.jp/nbrc/catalogue/NBRCMediumDetailServlet?NO=000227",227)</f>
        <v>227</v>
      </c>
      <c r="I119" s="40"/>
      <c r="J119" s="13"/>
    </row>
    <row r="120" spans="1:10" x14ac:dyDescent="0.45">
      <c r="A120" s="5" t="s">
        <v>207</v>
      </c>
      <c r="B120" s="21">
        <v>13427</v>
      </c>
      <c r="C120" s="3" t="s">
        <v>709</v>
      </c>
      <c r="D120" s="3" t="s">
        <v>713</v>
      </c>
      <c r="E120" s="3"/>
      <c r="F120" s="7" t="s">
        <v>208</v>
      </c>
      <c r="G120" s="4" t="s">
        <v>209</v>
      </c>
      <c r="H120" s="40">
        <f>HYPERLINK("https://www.nite.go.jp/nbrc/catalogue/NBRCMediumDetailServlet?NO=000227",227)</f>
        <v>227</v>
      </c>
      <c r="I120" s="40"/>
      <c r="J120" s="13"/>
    </row>
    <row r="121" spans="1:10" x14ac:dyDescent="0.45">
      <c r="A121" s="5" t="s">
        <v>210</v>
      </c>
      <c r="B121" s="21">
        <v>13463</v>
      </c>
      <c r="C121" s="3" t="s">
        <v>709</v>
      </c>
      <c r="D121" s="3" t="s">
        <v>713</v>
      </c>
      <c r="E121" s="3"/>
      <c r="F121" s="7" t="s">
        <v>211</v>
      </c>
      <c r="G121" s="4" t="s">
        <v>212</v>
      </c>
      <c r="H121" s="40">
        <f>HYPERLINK("https://www.nite.go.jp/nbrc/catalogue/NBRCMediumDetailServlet?NO=000268",268)</f>
        <v>268</v>
      </c>
      <c r="I121" s="40"/>
      <c r="J121" s="13"/>
    </row>
    <row r="122" spans="1:10" x14ac:dyDescent="0.45">
      <c r="A122" s="5" t="s">
        <v>213</v>
      </c>
      <c r="B122" s="21">
        <v>13501</v>
      </c>
      <c r="C122" s="3" t="s">
        <v>709</v>
      </c>
      <c r="D122" s="3"/>
      <c r="E122" s="3" t="s">
        <v>775</v>
      </c>
      <c r="F122" s="7" t="s">
        <v>747</v>
      </c>
      <c r="G122" s="4" t="s">
        <v>748</v>
      </c>
      <c r="H122" s="40">
        <f>HYPERLINK("https://www.nite.go.jp/nbrc/catalogue/NBRCMediumDetailServlet?NO=000802",802)</f>
        <v>802</v>
      </c>
      <c r="I122" s="40"/>
      <c r="J122" s="13"/>
    </row>
    <row r="123" spans="1:10" x14ac:dyDescent="0.45">
      <c r="A123" s="5" t="s">
        <v>214</v>
      </c>
      <c r="B123" s="21">
        <v>13534</v>
      </c>
      <c r="C123" s="3" t="s">
        <v>709</v>
      </c>
      <c r="D123" s="3" t="s">
        <v>713</v>
      </c>
      <c r="E123" s="3" t="s">
        <v>774</v>
      </c>
      <c r="F123" s="7" t="s">
        <v>11</v>
      </c>
      <c r="G123" s="4" t="s">
        <v>12</v>
      </c>
      <c r="H123" s="40">
        <f>HYPERLINK("https://www.nite.go.jp/nbrc/catalogue/NBRCMediumDetailServlet?NO=000802",802)</f>
        <v>802</v>
      </c>
      <c r="I123" s="40"/>
      <c r="J123" s="13"/>
    </row>
    <row r="124" spans="1:10" ht="30" x14ac:dyDescent="0.45">
      <c r="A124" s="5" t="s">
        <v>215</v>
      </c>
      <c r="B124" s="21">
        <v>13951</v>
      </c>
      <c r="C124" s="3" t="s">
        <v>709</v>
      </c>
      <c r="D124" s="3" t="s">
        <v>713</v>
      </c>
      <c r="E124" s="3"/>
      <c r="F124" s="7" t="s">
        <v>203</v>
      </c>
      <c r="G124" s="4" t="s">
        <v>75</v>
      </c>
      <c r="H124" s="40">
        <f>HYPERLINK("https://www.nite.go.jp/nbrc/catalogue/NBRCMediumDetailServlet?NO=000803",803)</f>
        <v>803</v>
      </c>
      <c r="I124" s="40">
        <f>HYPERLINK("https://www.nite.go.jp/nbrc/catalogue/NBRCMediumDetailServlet?NO=000310",310)</f>
        <v>310</v>
      </c>
      <c r="J124" s="13" t="s">
        <v>779</v>
      </c>
    </row>
    <row r="125" spans="1:10" x14ac:dyDescent="0.45">
      <c r="A125" s="5" t="s">
        <v>216</v>
      </c>
      <c r="B125" s="21">
        <v>14161</v>
      </c>
      <c r="C125" s="3" t="s">
        <v>709</v>
      </c>
      <c r="D125" s="3" t="s">
        <v>713</v>
      </c>
      <c r="E125" s="3" t="s">
        <v>775</v>
      </c>
      <c r="F125" s="7" t="s">
        <v>217</v>
      </c>
      <c r="G125" s="4" t="s">
        <v>218</v>
      </c>
      <c r="H125" s="40">
        <f>HYPERLINK("https://www.nite.go.jp/nbrc/catalogue/NBRCMediumDetailServlet?NO=000802",802)</f>
        <v>802</v>
      </c>
      <c r="I125" s="40"/>
      <c r="J125" s="13"/>
    </row>
    <row r="126" spans="1:10" x14ac:dyDescent="0.45">
      <c r="A126" s="5" t="s">
        <v>219</v>
      </c>
      <c r="B126" s="21">
        <v>14165</v>
      </c>
      <c r="C126" s="3" t="s">
        <v>709</v>
      </c>
      <c r="D126" s="3" t="s">
        <v>713</v>
      </c>
      <c r="E126" s="3"/>
      <c r="F126" s="7" t="s">
        <v>220</v>
      </c>
      <c r="G126" s="4" t="s">
        <v>221</v>
      </c>
      <c r="H126" s="40">
        <f>HYPERLINK("https://www.nite.go.jp/nbrc/catalogue/NBRCMediumDetailServlet?NO=000802",802)</f>
        <v>802</v>
      </c>
      <c r="I126" s="40"/>
      <c r="J126" s="13"/>
    </row>
    <row r="127" spans="1:10" x14ac:dyDescent="0.45">
      <c r="A127" s="5" t="s">
        <v>222</v>
      </c>
      <c r="B127" s="4">
        <v>14291</v>
      </c>
      <c r="C127" s="3" t="s">
        <v>709</v>
      </c>
      <c r="D127" s="3" t="s">
        <v>713</v>
      </c>
      <c r="E127" s="3"/>
      <c r="F127" s="7" t="s">
        <v>223</v>
      </c>
      <c r="G127" s="4" t="s">
        <v>37</v>
      </c>
      <c r="H127" s="40">
        <f>HYPERLINK("https://www.nite.go.jp/nbrc/catalogue/NBRCMediumDetailServlet?NO=000902",902)</f>
        <v>902</v>
      </c>
      <c r="I127" s="40">
        <f>HYPERLINK("https://www.nite.go.jp/nbrc/catalogue/NBRCMediumDetailServlet?NO=000312",312)</f>
        <v>312</v>
      </c>
      <c r="J127" s="13" t="s">
        <v>766</v>
      </c>
    </row>
    <row r="128" spans="1:10" x14ac:dyDescent="0.45">
      <c r="A128" s="5" t="s">
        <v>720</v>
      </c>
      <c r="B128" s="21">
        <v>14462</v>
      </c>
      <c r="C128" s="3" t="s">
        <v>709</v>
      </c>
      <c r="D128" s="3"/>
      <c r="E128" s="3" t="s">
        <v>774</v>
      </c>
      <c r="F128" s="7" t="s">
        <v>224</v>
      </c>
      <c r="G128" s="4" t="s">
        <v>225</v>
      </c>
      <c r="H128" s="40">
        <f>HYPERLINK("https://www.nite.go.jp/nbrc/catalogue/NBRCMediumDetailServlet?NO=000802",802)</f>
        <v>802</v>
      </c>
      <c r="I128" s="40"/>
      <c r="J128" s="13"/>
    </row>
    <row r="129" spans="1:10" x14ac:dyDescent="0.45">
      <c r="A129" s="5" t="s">
        <v>935</v>
      </c>
      <c r="B129" s="21">
        <v>14477</v>
      </c>
      <c r="C129" s="3" t="s">
        <v>709</v>
      </c>
      <c r="D129" s="3" t="s">
        <v>713</v>
      </c>
      <c r="E129" s="3" t="s">
        <v>775</v>
      </c>
      <c r="F129" s="7" t="s">
        <v>226</v>
      </c>
      <c r="G129" s="4" t="s">
        <v>227</v>
      </c>
      <c r="H129" s="40">
        <f>HYPERLINK("https://www.nite.go.jp/nbrc/catalogue/NBRCMediumDetailServlet?NO=000246",246)</f>
        <v>246</v>
      </c>
      <c r="I129" s="40"/>
      <c r="J129" s="13"/>
    </row>
    <row r="130" spans="1:10" x14ac:dyDescent="0.45">
      <c r="A130" s="5" t="s">
        <v>228</v>
      </c>
      <c r="B130" s="21">
        <v>14587</v>
      </c>
      <c r="C130" s="3" t="s">
        <v>709</v>
      </c>
      <c r="D130" s="3" t="s">
        <v>713</v>
      </c>
      <c r="E130" s="3" t="s">
        <v>775</v>
      </c>
      <c r="F130" s="7" t="s">
        <v>229</v>
      </c>
      <c r="G130" s="4" t="s">
        <v>230</v>
      </c>
      <c r="H130" s="40">
        <f>HYPERLINK("https://www.nite.go.jp/nbrc/catalogue/NBRCMediumDetailServlet?NO=000253",253)</f>
        <v>253</v>
      </c>
      <c r="I130" s="40"/>
      <c r="J130" s="13" t="s">
        <v>765</v>
      </c>
    </row>
    <row r="131" spans="1:10" x14ac:dyDescent="0.45">
      <c r="A131" s="5" t="s">
        <v>231</v>
      </c>
      <c r="B131" s="21">
        <v>14588</v>
      </c>
      <c r="C131" s="3" t="s">
        <v>709</v>
      </c>
      <c r="D131" s="3" t="s">
        <v>713</v>
      </c>
      <c r="E131" s="3" t="s">
        <v>775</v>
      </c>
      <c r="F131" s="7" t="s">
        <v>232</v>
      </c>
      <c r="G131" s="4" t="s">
        <v>233</v>
      </c>
      <c r="H131" s="40">
        <f>HYPERLINK("https://www.nite.go.jp/nbrc/catalogue/NBRCMediumDetailServlet?NO=000347",347)</f>
        <v>347</v>
      </c>
      <c r="I131" s="40"/>
      <c r="J131" s="13"/>
    </row>
    <row r="132" spans="1:10" x14ac:dyDescent="0.45">
      <c r="A132" s="5" t="s">
        <v>234</v>
      </c>
      <c r="B132" s="21">
        <v>14589</v>
      </c>
      <c r="C132" s="3" t="s">
        <v>709</v>
      </c>
      <c r="D132" s="3" t="s">
        <v>713</v>
      </c>
      <c r="E132" s="3"/>
      <c r="F132" s="7" t="s">
        <v>235</v>
      </c>
      <c r="G132" s="4" t="s">
        <v>236</v>
      </c>
      <c r="H132" s="40">
        <f>HYPERLINK("https://www.nite.go.jp/nbrc/catalogue/NBRCMediumDetailServlet?NO=000253",253)</f>
        <v>253</v>
      </c>
      <c r="I132" s="40"/>
      <c r="J132" s="13"/>
    </row>
    <row r="133" spans="1:10" x14ac:dyDescent="0.45">
      <c r="A133" s="5" t="s">
        <v>237</v>
      </c>
      <c r="B133" s="21">
        <v>14623</v>
      </c>
      <c r="C133" s="3" t="s">
        <v>709</v>
      </c>
      <c r="D133" s="3" t="s">
        <v>713</v>
      </c>
      <c r="E133" s="3" t="s">
        <v>774</v>
      </c>
      <c r="F133" s="7" t="s">
        <v>238</v>
      </c>
      <c r="G133" s="4" t="s">
        <v>239</v>
      </c>
      <c r="H133" s="40">
        <f>HYPERLINK("https://www.nite.go.jp/nbrc/catalogue/NBRCMediumDetailServlet?NO=000227",227)</f>
        <v>227</v>
      </c>
      <c r="I133" s="40"/>
      <c r="J133" s="13"/>
    </row>
    <row r="134" spans="1:10" x14ac:dyDescent="0.45">
      <c r="A134" s="5" t="s">
        <v>240</v>
      </c>
      <c r="B134" s="21">
        <v>14811</v>
      </c>
      <c r="C134" s="3" t="s">
        <v>709</v>
      </c>
      <c r="D134" s="3" t="s">
        <v>713</v>
      </c>
      <c r="E134" s="3"/>
      <c r="F134" s="7" t="s">
        <v>138</v>
      </c>
      <c r="G134" s="4" t="s">
        <v>80</v>
      </c>
      <c r="H134" s="40">
        <f>HYPERLINK("https://www.nite.go.jp/nbrc/catalogue/NBRCMediumDetailServlet?NO=000802",802)</f>
        <v>802</v>
      </c>
      <c r="I134" s="40"/>
      <c r="J134" s="13"/>
    </row>
    <row r="135" spans="1:10" x14ac:dyDescent="0.45">
      <c r="A135" s="5" t="s">
        <v>936</v>
      </c>
      <c r="B135" s="21">
        <v>14850</v>
      </c>
      <c r="C135" s="3" t="s">
        <v>709</v>
      </c>
      <c r="D135" s="3" t="s">
        <v>713</v>
      </c>
      <c r="E135" s="3" t="s">
        <v>774</v>
      </c>
      <c r="F135" s="7" t="s">
        <v>241</v>
      </c>
      <c r="G135" s="4" t="s">
        <v>242</v>
      </c>
      <c r="H135" s="40">
        <f>HYPERLINK("https://www.nite.go.jp/nbrc/catalogue/NBRCMediumDetailServlet?NO=000823",823)</f>
        <v>823</v>
      </c>
      <c r="I135" s="40">
        <f>HYPERLINK("https://www.nite.go.jp/nbrc/catalogue/NBRCMediumDetailServlet?NO=000267",267)</f>
        <v>267</v>
      </c>
      <c r="J135" s="13"/>
    </row>
    <row r="136" spans="1:10" x14ac:dyDescent="0.45">
      <c r="A136" s="5" t="s">
        <v>937</v>
      </c>
      <c r="B136" s="21">
        <v>14851</v>
      </c>
      <c r="C136" s="3" t="s">
        <v>709</v>
      </c>
      <c r="D136" s="3" t="s">
        <v>713</v>
      </c>
      <c r="E136" s="3"/>
      <c r="F136" s="7" t="s">
        <v>226</v>
      </c>
      <c r="G136" s="4" t="s">
        <v>227</v>
      </c>
      <c r="H136" s="40">
        <f>HYPERLINK("https://www.nite.go.jp/nbrc/catalogue/NBRCMediumDetailServlet?NO=000267",267)</f>
        <v>267</v>
      </c>
      <c r="I136" s="40"/>
      <c r="J136" s="13"/>
    </row>
    <row r="137" spans="1:10" x14ac:dyDescent="0.45">
      <c r="A137" s="5" t="s">
        <v>938</v>
      </c>
      <c r="B137" s="21">
        <v>14895</v>
      </c>
      <c r="C137" s="3" t="s">
        <v>709</v>
      </c>
      <c r="D137" s="3" t="s">
        <v>713</v>
      </c>
      <c r="E137" s="3"/>
      <c r="F137" s="7" t="s">
        <v>243</v>
      </c>
      <c r="G137" s="4" t="s">
        <v>244</v>
      </c>
      <c r="H137" s="40">
        <f>HYPERLINK("https://www.nite.go.jp/nbrc/catalogue/NBRCMediumDetailServlet?NO=000267",267)</f>
        <v>267</v>
      </c>
      <c r="I137" s="40"/>
      <c r="J137" s="13"/>
    </row>
    <row r="138" spans="1:10" x14ac:dyDescent="0.45">
      <c r="A138" s="5" t="s">
        <v>245</v>
      </c>
      <c r="B138" s="21">
        <v>14943</v>
      </c>
      <c r="C138" s="3" t="s">
        <v>709</v>
      </c>
      <c r="D138" s="3" t="s">
        <v>713</v>
      </c>
      <c r="E138" s="3" t="s">
        <v>775</v>
      </c>
      <c r="F138" s="7" t="s">
        <v>246</v>
      </c>
      <c r="G138" s="4" t="s">
        <v>247</v>
      </c>
      <c r="H138" s="40">
        <f t="shared" ref="H138:H155" si="4">HYPERLINK("https://www.nite.go.jp/nbrc/catalogue/NBRCMediumDetailServlet?NO=000802",802)</f>
        <v>802</v>
      </c>
      <c r="I138" s="40"/>
      <c r="J138" s="13"/>
    </row>
    <row r="139" spans="1:10" x14ac:dyDescent="0.45">
      <c r="A139" s="5" t="s">
        <v>248</v>
      </c>
      <c r="B139" s="21">
        <v>14946</v>
      </c>
      <c r="C139" s="3" t="s">
        <v>709</v>
      </c>
      <c r="D139" s="3" t="s">
        <v>713</v>
      </c>
      <c r="E139" s="3" t="s">
        <v>916</v>
      </c>
      <c r="F139" s="7" t="s">
        <v>249</v>
      </c>
      <c r="G139" s="4" t="s">
        <v>250</v>
      </c>
      <c r="H139" s="40">
        <f t="shared" si="4"/>
        <v>802</v>
      </c>
      <c r="I139" s="40"/>
      <c r="J139" s="13"/>
    </row>
    <row r="140" spans="1:10" x14ac:dyDescent="0.45">
      <c r="A140" s="5" t="s">
        <v>251</v>
      </c>
      <c r="B140" s="21">
        <v>14947</v>
      </c>
      <c r="C140" s="3" t="s">
        <v>709</v>
      </c>
      <c r="D140" s="3" t="s">
        <v>713</v>
      </c>
      <c r="E140" s="3" t="s">
        <v>775</v>
      </c>
      <c r="F140" s="7" t="s">
        <v>252</v>
      </c>
      <c r="G140" s="4" t="s">
        <v>253</v>
      </c>
      <c r="H140" s="40">
        <f t="shared" si="4"/>
        <v>802</v>
      </c>
      <c r="I140" s="40"/>
      <c r="J140" s="13"/>
    </row>
    <row r="141" spans="1:10" x14ac:dyDescent="0.45">
      <c r="A141" s="5" t="s">
        <v>254</v>
      </c>
      <c r="B141" s="21">
        <v>14948</v>
      </c>
      <c r="C141" s="3" t="s">
        <v>709</v>
      </c>
      <c r="D141" s="3" t="s">
        <v>713</v>
      </c>
      <c r="E141" s="3" t="s">
        <v>775</v>
      </c>
      <c r="F141" s="7" t="s">
        <v>255</v>
      </c>
      <c r="G141" s="4" t="s">
        <v>256</v>
      </c>
      <c r="H141" s="40">
        <f t="shared" si="4"/>
        <v>802</v>
      </c>
      <c r="I141" s="40"/>
      <c r="J141" s="13"/>
    </row>
    <row r="142" spans="1:10" x14ac:dyDescent="0.45">
      <c r="A142" s="5" t="s">
        <v>257</v>
      </c>
      <c r="B142" s="21">
        <v>14963</v>
      </c>
      <c r="C142" s="3" t="s">
        <v>709</v>
      </c>
      <c r="D142" s="3" t="s">
        <v>713</v>
      </c>
      <c r="E142" s="3" t="s">
        <v>775</v>
      </c>
      <c r="F142" s="7" t="s">
        <v>258</v>
      </c>
      <c r="G142" s="4" t="s">
        <v>259</v>
      </c>
      <c r="H142" s="40">
        <f t="shared" si="4"/>
        <v>802</v>
      </c>
      <c r="I142" s="40"/>
      <c r="J142" s="13"/>
    </row>
    <row r="143" spans="1:10" x14ac:dyDescent="0.45">
      <c r="A143" s="5" t="s">
        <v>254</v>
      </c>
      <c r="B143" s="21">
        <v>14975</v>
      </c>
      <c r="C143" s="3" t="s">
        <v>709</v>
      </c>
      <c r="D143" s="3"/>
      <c r="E143" s="3" t="s">
        <v>775</v>
      </c>
      <c r="F143" s="7" t="s">
        <v>11</v>
      </c>
      <c r="G143" s="4" t="s">
        <v>12</v>
      </c>
      <c r="H143" s="40">
        <f t="shared" si="4"/>
        <v>802</v>
      </c>
      <c r="I143" s="40"/>
      <c r="J143" s="13"/>
    </row>
    <row r="144" spans="1:10" x14ac:dyDescent="0.45">
      <c r="A144" s="5" t="s">
        <v>260</v>
      </c>
      <c r="B144" s="21">
        <v>15034</v>
      </c>
      <c r="C144" s="3" t="s">
        <v>709</v>
      </c>
      <c r="D144" s="3"/>
      <c r="E144" s="3" t="s">
        <v>774</v>
      </c>
      <c r="F144" s="7" t="s">
        <v>261</v>
      </c>
      <c r="G144" s="4" t="s">
        <v>225</v>
      </c>
      <c r="H144" s="40">
        <f t="shared" si="4"/>
        <v>802</v>
      </c>
      <c r="I144" s="40"/>
      <c r="J144" s="13"/>
    </row>
    <row r="145" spans="1:10" x14ac:dyDescent="0.45">
      <c r="A145" s="5" t="s">
        <v>262</v>
      </c>
      <c r="B145" s="21">
        <v>15054</v>
      </c>
      <c r="C145" s="3" t="s">
        <v>709</v>
      </c>
      <c r="D145" s="3" t="s">
        <v>713</v>
      </c>
      <c r="E145" s="3" t="s">
        <v>775</v>
      </c>
      <c r="F145" s="7" t="s">
        <v>263</v>
      </c>
      <c r="G145" s="4" t="s">
        <v>264</v>
      </c>
      <c r="H145" s="40">
        <f t="shared" si="4"/>
        <v>802</v>
      </c>
      <c r="I145" s="40"/>
      <c r="J145" s="13"/>
    </row>
    <row r="146" spans="1:10" x14ac:dyDescent="0.45">
      <c r="A146" s="5" t="s">
        <v>265</v>
      </c>
      <c r="B146" s="21">
        <v>15102</v>
      </c>
      <c r="C146" s="3" t="s">
        <v>709</v>
      </c>
      <c r="D146" s="3" t="s">
        <v>713</v>
      </c>
      <c r="E146" s="3"/>
      <c r="F146" s="7" t="s">
        <v>261</v>
      </c>
      <c r="G146" s="4" t="s">
        <v>225</v>
      </c>
      <c r="H146" s="40">
        <f t="shared" si="4"/>
        <v>802</v>
      </c>
      <c r="I146" s="40"/>
      <c r="J146" s="13"/>
    </row>
    <row r="147" spans="1:10" x14ac:dyDescent="0.45">
      <c r="A147" s="5" t="s">
        <v>266</v>
      </c>
      <c r="B147" s="21">
        <v>15126</v>
      </c>
      <c r="C147" s="3" t="s">
        <v>709</v>
      </c>
      <c r="D147" s="3" t="s">
        <v>713</v>
      </c>
      <c r="E147" s="3" t="s">
        <v>775</v>
      </c>
      <c r="F147" s="7" t="s">
        <v>267</v>
      </c>
      <c r="G147" s="4" t="s">
        <v>268</v>
      </c>
      <c r="H147" s="40">
        <f t="shared" si="4"/>
        <v>802</v>
      </c>
      <c r="I147" s="40"/>
      <c r="J147" s="13"/>
    </row>
    <row r="148" spans="1:10" x14ac:dyDescent="0.45">
      <c r="A148" s="5" t="s">
        <v>269</v>
      </c>
      <c r="B148" s="21">
        <v>15207</v>
      </c>
      <c r="C148" s="3" t="s">
        <v>709</v>
      </c>
      <c r="D148" s="3" t="s">
        <v>713</v>
      </c>
      <c r="E148" s="3" t="s">
        <v>775</v>
      </c>
      <c r="F148" s="7" t="s">
        <v>138</v>
      </c>
      <c r="G148" s="4" t="s">
        <v>80</v>
      </c>
      <c r="H148" s="40">
        <f t="shared" si="4"/>
        <v>802</v>
      </c>
      <c r="I148" s="40"/>
      <c r="J148" s="13"/>
    </row>
    <row r="149" spans="1:10" x14ac:dyDescent="0.45">
      <c r="A149" s="5" t="s">
        <v>240</v>
      </c>
      <c r="B149" s="21">
        <v>15229</v>
      </c>
      <c r="C149" s="3" t="s">
        <v>709</v>
      </c>
      <c r="D149" s="3"/>
      <c r="E149" s="3"/>
      <c r="F149" s="7" t="s">
        <v>138</v>
      </c>
      <c r="G149" s="4" t="s">
        <v>80</v>
      </c>
      <c r="H149" s="40">
        <f t="shared" si="4"/>
        <v>802</v>
      </c>
      <c r="I149" s="40"/>
      <c r="J149" s="13"/>
    </row>
    <row r="150" spans="1:10" x14ac:dyDescent="0.45">
      <c r="A150" s="5" t="s">
        <v>270</v>
      </c>
      <c r="B150" s="21">
        <v>15321</v>
      </c>
      <c r="C150" s="3" t="s">
        <v>709</v>
      </c>
      <c r="D150" s="3"/>
      <c r="E150" s="3"/>
      <c r="F150" s="7" t="s">
        <v>138</v>
      </c>
      <c r="G150" s="4" t="s">
        <v>80</v>
      </c>
      <c r="H150" s="40">
        <f t="shared" si="4"/>
        <v>802</v>
      </c>
      <c r="I150" s="40"/>
      <c r="J150" s="13"/>
    </row>
    <row r="151" spans="1:10" x14ac:dyDescent="0.45">
      <c r="A151" s="5" t="s">
        <v>271</v>
      </c>
      <c r="B151" s="21">
        <v>15354</v>
      </c>
      <c r="C151" s="3" t="s">
        <v>709</v>
      </c>
      <c r="D151" s="3" t="s">
        <v>713</v>
      </c>
      <c r="E151" s="3"/>
      <c r="F151" s="7" t="s">
        <v>138</v>
      </c>
      <c r="G151" s="4" t="s">
        <v>80</v>
      </c>
      <c r="H151" s="40">
        <f t="shared" si="4"/>
        <v>802</v>
      </c>
      <c r="I151" s="40"/>
      <c r="J151" s="13"/>
    </row>
    <row r="152" spans="1:10" x14ac:dyDescent="0.45">
      <c r="A152" s="5" t="s">
        <v>272</v>
      </c>
      <c r="B152" s="21">
        <v>15355</v>
      </c>
      <c r="C152" s="3" t="s">
        <v>709</v>
      </c>
      <c r="D152" s="3" t="s">
        <v>713</v>
      </c>
      <c r="E152" s="3"/>
      <c r="F152" s="7" t="s">
        <v>138</v>
      </c>
      <c r="G152" s="4" t="s">
        <v>80</v>
      </c>
      <c r="H152" s="40">
        <f t="shared" si="4"/>
        <v>802</v>
      </c>
      <c r="I152" s="40"/>
      <c r="J152" s="13"/>
    </row>
    <row r="153" spans="1:10" x14ac:dyDescent="0.45">
      <c r="A153" s="5" t="s">
        <v>273</v>
      </c>
      <c r="B153" s="21">
        <v>15361</v>
      </c>
      <c r="C153" s="3" t="s">
        <v>709</v>
      </c>
      <c r="D153" s="3" t="s">
        <v>713</v>
      </c>
      <c r="E153" s="3" t="s">
        <v>775</v>
      </c>
      <c r="F153" s="7" t="s">
        <v>274</v>
      </c>
      <c r="G153" s="4" t="s">
        <v>275</v>
      </c>
      <c r="H153" s="40">
        <f t="shared" si="4"/>
        <v>802</v>
      </c>
      <c r="I153" s="40"/>
      <c r="J153" s="13"/>
    </row>
    <row r="154" spans="1:10" x14ac:dyDescent="0.45">
      <c r="A154" s="5" t="s">
        <v>276</v>
      </c>
      <c r="B154" s="21">
        <v>15380</v>
      </c>
      <c r="C154" s="3" t="s">
        <v>709</v>
      </c>
      <c r="D154" s="3" t="s">
        <v>713</v>
      </c>
      <c r="E154" s="3"/>
      <c r="F154" s="7" t="s">
        <v>277</v>
      </c>
      <c r="G154" s="4" t="s">
        <v>278</v>
      </c>
      <c r="H154" s="40">
        <f t="shared" si="4"/>
        <v>802</v>
      </c>
      <c r="I154" s="40"/>
      <c r="J154" s="13"/>
    </row>
    <row r="155" spans="1:10" x14ac:dyDescent="0.45">
      <c r="A155" s="5" t="s">
        <v>279</v>
      </c>
      <c r="B155" s="21">
        <v>15521</v>
      </c>
      <c r="C155" s="3" t="s">
        <v>709</v>
      </c>
      <c r="D155" s="3" t="s">
        <v>713</v>
      </c>
      <c r="E155" s="3"/>
      <c r="F155" s="7" t="s">
        <v>223</v>
      </c>
      <c r="G155" s="4" t="s">
        <v>37</v>
      </c>
      <c r="H155" s="40">
        <f t="shared" si="4"/>
        <v>802</v>
      </c>
      <c r="I155" s="40"/>
      <c r="J155" s="13"/>
    </row>
    <row r="156" spans="1:10" ht="30" x14ac:dyDescent="0.45">
      <c r="A156" s="5" t="s">
        <v>280</v>
      </c>
      <c r="B156" s="21">
        <v>15544</v>
      </c>
      <c r="C156" s="3" t="s">
        <v>709</v>
      </c>
      <c r="D156" s="3" t="s">
        <v>713</v>
      </c>
      <c r="E156" s="3" t="s">
        <v>775</v>
      </c>
      <c r="F156" s="7" t="s">
        <v>749</v>
      </c>
      <c r="G156" s="4" t="s">
        <v>750</v>
      </c>
      <c r="H156" s="40">
        <f>HYPERLINK("https://www.nite.go.jp/nbrc/catalogue/NBRCMediumDetailServlet?NO=000310",310)</f>
        <v>310</v>
      </c>
      <c r="I156" s="40"/>
      <c r="J156" s="13" t="s">
        <v>779</v>
      </c>
    </row>
    <row r="157" spans="1:10" x14ac:dyDescent="0.45">
      <c r="A157" s="5" t="s">
        <v>281</v>
      </c>
      <c r="B157" s="4">
        <v>15545</v>
      </c>
      <c r="C157" s="3" t="s">
        <v>709</v>
      </c>
      <c r="D157" s="3" t="s">
        <v>713</v>
      </c>
      <c r="E157" s="3" t="s">
        <v>775</v>
      </c>
      <c r="F157" s="7" t="s">
        <v>282</v>
      </c>
      <c r="G157" s="4" t="s">
        <v>283</v>
      </c>
      <c r="H157" s="40">
        <f>HYPERLINK("https://www.nite.go.jp/nbrc/catalogue/NBRCMediumDetailServlet?NO=000315",315)</f>
        <v>315</v>
      </c>
      <c r="I157" s="40"/>
      <c r="J157" s="13"/>
    </row>
    <row r="158" spans="1:10" x14ac:dyDescent="0.45">
      <c r="A158" s="5" t="s">
        <v>284</v>
      </c>
      <c r="B158" s="21">
        <v>15546</v>
      </c>
      <c r="C158" s="3" t="s">
        <v>709</v>
      </c>
      <c r="D158" s="3" t="s">
        <v>713</v>
      </c>
      <c r="E158" s="3" t="s">
        <v>775</v>
      </c>
      <c r="F158" s="7" t="s">
        <v>285</v>
      </c>
      <c r="G158" s="4" t="s">
        <v>286</v>
      </c>
      <c r="H158" s="40">
        <f>HYPERLINK("https://www.nite.go.jp/nbrc/catalogue/NBRCMediumDetailServlet?NO=000312",312)</f>
        <v>312</v>
      </c>
      <c r="I158" s="40"/>
      <c r="J158" s="13"/>
    </row>
    <row r="159" spans="1:10" x14ac:dyDescent="0.45">
      <c r="A159" s="5" t="s">
        <v>776</v>
      </c>
      <c r="B159" s="21">
        <v>15550</v>
      </c>
      <c r="C159" s="3" t="s">
        <v>709</v>
      </c>
      <c r="D159" s="3" t="s">
        <v>713</v>
      </c>
      <c r="E159" s="3" t="s">
        <v>775</v>
      </c>
      <c r="F159" s="7" t="s">
        <v>287</v>
      </c>
      <c r="G159" s="4" t="s">
        <v>288</v>
      </c>
      <c r="H159" s="40">
        <f>HYPERLINK("https://www.nite.go.jp/nbrc/catalogue/NBRCMediumDetailServlet?NO=000311",311)</f>
        <v>311</v>
      </c>
      <c r="I159" s="40"/>
      <c r="J159" s="13"/>
    </row>
    <row r="160" spans="1:10" x14ac:dyDescent="0.45">
      <c r="A160" s="5" t="s">
        <v>289</v>
      </c>
      <c r="B160" s="21">
        <v>15551</v>
      </c>
      <c r="C160" s="3" t="s">
        <v>709</v>
      </c>
      <c r="D160" s="3" t="s">
        <v>713</v>
      </c>
      <c r="E160" s="3" t="s">
        <v>775</v>
      </c>
      <c r="F160" s="7" t="s">
        <v>290</v>
      </c>
      <c r="G160" s="4" t="s">
        <v>291</v>
      </c>
      <c r="H160" s="40">
        <f>HYPERLINK("https://www.nite.go.jp/nbrc/catalogue/NBRCMediumDetailServlet?NO=000311",311)</f>
        <v>311</v>
      </c>
      <c r="I160" s="40"/>
      <c r="J160" s="13"/>
    </row>
    <row r="161" spans="1:10" ht="30" x14ac:dyDescent="0.45">
      <c r="A161" s="5" t="s">
        <v>292</v>
      </c>
      <c r="B161" s="21">
        <v>15552</v>
      </c>
      <c r="C161" s="3" t="s">
        <v>709</v>
      </c>
      <c r="D161" s="3" t="s">
        <v>713</v>
      </c>
      <c r="E161" s="3" t="s">
        <v>775</v>
      </c>
      <c r="F161" s="7" t="s">
        <v>293</v>
      </c>
      <c r="G161" s="4" t="s">
        <v>201</v>
      </c>
      <c r="H161" s="40">
        <f>HYPERLINK("https://www.nite.go.jp/nbrc/catalogue/NBRCMediumDetailServlet?NO=000314",314)</f>
        <v>314</v>
      </c>
      <c r="I161" s="40"/>
      <c r="J161" s="13" t="s">
        <v>779</v>
      </c>
    </row>
    <row r="162" spans="1:10" x14ac:dyDescent="0.45">
      <c r="A162" s="5" t="s">
        <v>294</v>
      </c>
      <c r="B162" s="21">
        <v>15616</v>
      </c>
      <c r="C162" s="3" t="s">
        <v>709</v>
      </c>
      <c r="D162" s="3" t="s">
        <v>713</v>
      </c>
      <c r="E162" s="3"/>
      <c r="F162" s="7" t="s">
        <v>72</v>
      </c>
      <c r="G162" s="4" t="s">
        <v>73</v>
      </c>
      <c r="H162" s="40">
        <f>HYPERLINK("https://www.nite.go.jp/nbrc/catalogue/NBRCMediumDetailServlet?NO=000802",802)</f>
        <v>802</v>
      </c>
      <c r="I162" s="40"/>
      <c r="J162" s="13"/>
    </row>
    <row r="163" spans="1:10" x14ac:dyDescent="0.45">
      <c r="A163" s="5" t="s">
        <v>295</v>
      </c>
      <c r="B163" s="4">
        <v>15645</v>
      </c>
      <c r="C163" s="3" t="s">
        <v>709</v>
      </c>
      <c r="D163" s="3" t="s">
        <v>713</v>
      </c>
      <c r="E163" s="3" t="s">
        <v>774</v>
      </c>
      <c r="F163" s="7" t="s">
        <v>157</v>
      </c>
      <c r="G163" s="4" t="s">
        <v>158</v>
      </c>
      <c r="H163" s="40">
        <f>HYPERLINK("https://www.nite.go.jp/nbrc/catalogue/NBRCMediumDetailServlet?NO=000340",340)</f>
        <v>340</v>
      </c>
      <c r="I163" s="40">
        <f>HYPERLINK("https://www.nite.go.jp/nbrc/catalogue/NBRCMediumDetailServlet?NO=000325",325)</f>
        <v>325</v>
      </c>
      <c r="J163" s="13"/>
    </row>
    <row r="164" spans="1:10" x14ac:dyDescent="0.45">
      <c r="A164" s="5" t="s">
        <v>296</v>
      </c>
      <c r="B164" s="21">
        <v>15653</v>
      </c>
      <c r="C164" s="3" t="s">
        <v>709</v>
      </c>
      <c r="D164" s="3" t="s">
        <v>713</v>
      </c>
      <c r="E164" s="3"/>
      <c r="F164" s="7" t="s">
        <v>223</v>
      </c>
      <c r="G164" s="4" t="s">
        <v>37</v>
      </c>
      <c r="H164" s="40">
        <f>HYPERLINK("https://www.nite.go.jp/nbrc/catalogue/NBRCMediumDetailServlet?NO=000316",316)</f>
        <v>316</v>
      </c>
      <c r="I164" s="40"/>
      <c r="J164" s="13"/>
    </row>
    <row r="165" spans="1:10" x14ac:dyDescent="0.45">
      <c r="A165" s="5" t="s">
        <v>297</v>
      </c>
      <c r="B165" s="21">
        <v>15673</v>
      </c>
      <c r="C165" s="3" t="s">
        <v>709</v>
      </c>
      <c r="D165" s="3" t="s">
        <v>713</v>
      </c>
      <c r="E165" s="3" t="s">
        <v>775</v>
      </c>
      <c r="F165" s="7" t="s">
        <v>298</v>
      </c>
      <c r="G165" s="4" t="s">
        <v>299</v>
      </c>
      <c r="H165" s="40">
        <f>HYPERLINK("https://www.nite.go.jp/nbrc/catalogue/NBRCMediumDetailServlet?NO=000802",802)</f>
        <v>802</v>
      </c>
      <c r="I165" s="40"/>
      <c r="J165" s="13"/>
    </row>
    <row r="166" spans="1:10" x14ac:dyDescent="0.45">
      <c r="A166" s="5" t="s">
        <v>300</v>
      </c>
      <c r="B166" s="21">
        <v>15708</v>
      </c>
      <c r="C166" s="3" t="s">
        <v>709</v>
      </c>
      <c r="D166" s="3" t="s">
        <v>713</v>
      </c>
      <c r="E166" s="3"/>
      <c r="F166" s="7" t="s">
        <v>301</v>
      </c>
      <c r="G166" s="4" t="s">
        <v>302</v>
      </c>
      <c r="H166" s="40">
        <f>HYPERLINK("https://www.nite.go.jp/nbrc/catalogue/NBRCMediumDetailServlet?NO=000802",802)</f>
        <v>802</v>
      </c>
      <c r="I166" s="40"/>
      <c r="J166" s="13"/>
    </row>
    <row r="167" spans="1:10" x14ac:dyDescent="0.45">
      <c r="A167" s="5" t="s">
        <v>303</v>
      </c>
      <c r="B167" s="21">
        <v>15777</v>
      </c>
      <c r="C167" s="3" t="s">
        <v>709</v>
      </c>
      <c r="D167" s="3"/>
      <c r="E167" s="3"/>
      <c r="F167" s="7" t="s">
        <v>232</v>
      </c>
      <c r="G167" s="4" t="s">
        <v>233</v>
      </c>
      <c r="H167" s="40">
        <f>HYPERLINK("https://www.nite.go.jp/nbrc/catalogue/NBRCMediumDetailServlet?NO=000253",253)</f>
        <v>253</v>
      </c>
      <c r="I167" s="40"/>
      <c r="J167" s="13"/>
    </row>
    <row r="168" spans="1:10" x14ac:dyDescent="0.45">
      <c r="A168" s="5" t="s">
        <v>304</v>
      </c>
      <c r="B168" s="21">
        <v>15820</v>
      </c>
      <c r="C168" s="3" t="s">
        <v>709</v>
      </c>
      <c r="D168" s="3" t="s">
        <v>713</v>
      </c>
      <c r="E168" s="3" t="s">
        <v>775</v>
      </c>
      <c r="F168" s="7" t="s">
        <v>305</v>
      </c>
      <c r="G168" s="4" t="s">
        <v>306</v>
      </c>
      <c r="H168" s="40">
        <f>HYPERLINK("https://www.nite.go.jp/nbrc/catalogue/NBRCMediumDetailServlet?NO=000802",802)</f>
        <v>802</v>
      </c>
      <c r="I168" s="40"/>
      <c r="J168" s="13"/>
    </row>
    <row r="169" spans="1:10" ht="30" x14ac:dyDescent="0.45">
      <c r="A169" s="5" t="s">
        <v>939</v>
      </c>
      <c r="B169" s="21">
        <v>15892</v>
      </c>
      <c r="C169" s="3" t="s">
        <v>709</v>
      </c>
      <c r="D169" s="3" t="s">
        <v>713</v>
      </c>
      <c r="E169" s="3"/>
      <c r="F169" s="7" t="s">
        <v>307</v>
      </c>
      <c r="G169" s="4" t="s">
        <v>308</v>
      </c>
      <c r="H169" s="40">
        <f>HYPERLINK("https://www.nite.go.jp/nbrc/catalogue/NBRCMediumDetailServlet?NO=000310",310)</f>
        <v>310</v>
      </c>
      <c r="I169" s="40"/>
      <c r="J169" s="13" t="s">
        <v>779</v>
      </c>
    </row>
    <row r="170" spans="1:10" x14ac:dyDescent="0.45">
      <c r="A170" s="5" t="s">
        <v>309</v>
      </c>
      <c r="B170" s="21">
        <v>16014</v>
      </c>
      <c r="C170" s="3" t="s">
        <v>709</v>
      </c>
      <c r="D170" s="3" t="s">
        <v>713</v>
      </c>
      <c r="E170" s="3" t="s">
        <v>775</v>
      </c>
      <c r="F170" s="7" t="s">
        <v>751</v>
      </c>
      <c r="G170" s="4" t="s">
        <v>31</v>
      </c>
      <c r="H170" s="40">
        <f>HYPERLINK("https://www.nite.go.jp/nbrc/catalogue/NBRCMediumDetailServlet?NO=000347",347)</f>
        <v>347</v>
      </c>
      <c r="I170" s="40"/>
      <c r="J170" s="13"/>
    </row>
    <row r="171" spans="1:10" x14ac:dyDescent="0.45">
      <c r="A171" s="5" t="s">
        <v>310</v>
      </c>
      <c r="B171" s="21">
        <v>16016</v>
      </c>
      <c r="C171" s="3" t="s">
        <v>709</v>
      </c>
      <c r="D171" s="3" t="s">
        <v>713</v>
      </c>
      <c r="E171" s="3"/>
      <c r="F171" s="7" t="s">
        <v>311</v>
      </c>
      <c r="G171" s="4" t="s">
        <v>312</v>
      </c>
      <c r="H171" s="40">
        <f>HYPERLINK("https://www.nite.go.jp/nbrc/catalogue/NBRCMediumDetailServlet?NO=000347",347)</f>
        <v>347</v>
      </c>
      <c r="I171" s="40"/>
      <c r="J171" s="13"/>
    </row>
    <row r="172" spans="1:10" x14ac:dyDescent="0.45">
      <c r="A172" s="5" t="s">
        <v>313</v>
      </c>
      <c r="B172" s="21">
        <v>16047</v>
      </c>
      <c r="C172" s="3" t="s">
        <v>709</v>
      </c>
      <c r="D172" s="3" t="s">
        <v>713</v>
      </c>
      <c r="E172" s="3" t="s">
        <v>775</v>
      </c>
      <c r="F172" s="7" t="s">
        <v>314</v>
      </c>
      <c r="G172" s="4" t="s">
        <v>315</v>
      </c>
      <c r="H172" s="40">
        <f>HYPERLINK("https://www.nite.go.jp/nbrc/catalogue/NBRCMediumDetailServlet?NO=000271",271)</f>
        <v>271</v>
      </c>
      <c r="I172" s="40"/>
      <c r="J172" s="13"/>
    </row>
    <row r="173" spans="1:10" x14ac:dyDescent="0.45">
      <c r="A173" s="5" t="s">
        <v>316</v>
      </c>
      <c r="B173" s="21">
        <v>16055</v>
      </c>
      <c r="C173" s="3" t="s">
        <v>709</v>
      </c>
      <c r="D173" s="3" t="s">
        <v>713</v>
      </c>
      <c r="E173" s="3"/>
      <c r="F173" s="7" t="s">
        <v>317</v>
      </c>
      <c r="G173" s="4" t="s">
        <v>166</v>
      </c>
      <c r="H173" s="40">
        <f>HYPERLINK("https://www.nite.go.jp/nbrc/catalogue/NBRCMediumDetailServlet?NO=000230",230)</f>
        <v>230</v>
      </c>
      <c r="I173" s="40"/>
      <c r="J173" s="13"/>
    </row>
    <row r="174" spans="1:10" x14ac:dyDescent="0.45">
      <c r="A174" s="5" t="s">
        <v>197</v>
      </c>
      <c r="B174" s="21">
        <v>16721</v>
      </c>
      <c r="C174" s="3" t="s">
        <v>709</v>
      </c>
      <c r="D174" s="3" t="s">
        <v>713</v>
      </c>
      <c r="E174" s="3" t="s">
        <v>775</v>
      </c>
      <c r="F174" s="7" t="s">
        <v>318</v>
      </c>
      <c r="G174" s="4" t="s">
        <v>319</v>
      </c>
      <c r="H174" s="40">
        <f>HYPERLINK("https://www.nite.go.jp/nbrc/catalogue/NBRCMediumDetailServlet?NO=000802",802)</f>
        <v>802</v>
      </c>
      <c r="I174" s="40"/>
      <c r="J174" s="13"/>
    </row>
    <row r="175" spans="1:10" x14ac:dyDescent="0.45">
      <c r="A175" s="5" t="s">
        <v>320</v>
      </c>
      <c r="B175" s="21">
        <v>30561</v>
      </c>
      <c r="C175" s="3" t="s">
        <v>710</v>
      </c>
      <c r="D175" s="3"/>
      <c r="E175" s="3"/>
      <c r="F175" s="7" t="s">
        <v>321</v>
      </c>
      <c r="G175" s="4" t="s">
        <v>322</v>
      </c>
      <c r="H175" s="40">
        <f>HYPERLINK("https://www.nite.go.jp/nbrc/catalogue/NBRCMediumDetailServlet?NO=000001",1)</f>
        <v>1</v>
      </c>
      <c r="I175" s="40"/>
      <c r="J175" s="13"/>
    </row>
    <row r="176" spans="1:10" x14ac:dyDescent="0.45">
      <c r="A176" s="5" t="s">
        <v>323</v>
      </c>
      <c r="B176" s="21">
        <v>30597</v>
      </c>
      <c r="C176" s="3" t="s">
        <v>710</v>
      </c>
      <c r="D176" s="3" t="s">
        <v>713</v>
      </c>
      <c r="E176" s="3"/>
      <c r="F176" s="7" t="s">
        <v>324</v>
      </c>
      <c r="G176" s="4" t="s">
        <v>325</v>
      </c>
      <c r="H176" s="40">
        <f>HYPERLINK("https://www.nite.go.jp/nbrc/catalogue/NBRCMediumDetailServlet?NO=000228",228)</f>
        <v>228</v>
      </c>
      <c r="I176" s="40"/>
      <c r="J176" s="13"/>
    </row>
    <row r="177" spans="1:10" x14ac:dyDescent="0.45">
      <c r="A177" s="5" t="s">
        <v>759</v>
      </c>
      <c r="B177" s="21">
        <v>30845</v>
      </c>
      <c r="C177" s="3" t="s">
        <v>710</v>
      </c>
      <c r="D177" s="3" t="s">
        <v>713</v>
      </c>
      <c r="E177" s="3"/>
      <c r="F177" s="7" t="s">
        <v>326</v>
      </c>
      <c r="G177" s="4" t="s">
        <v>9</v>
      </c>
      <c r="H177" s="40">
        <f>HYPERLINK("https://www.nite.go.jp/nbrc/catalogue/NBRCMediumDetailServlet?NO=000001",1)</f>
        <v>1</v>
      </c>
      <c r="I177" s="40"/>
      <c r="J177" s="13"/>
    </row>
    <row r="178" spans="1:10" x14ac:dyDescent="0.45">
      <c r="A178" s="5" t="s">
        <v>327</v>
      </c>
      <c r="B178" s="21">
        <v>30848</v>
      </c>
      <c r="C178" s="3" t="s">
        <v>710</v>
      </c>
      <c r="D178" s="3" t="s">
        <v>713</v>
      </c>
      <c r="E178" s="3"/>
      <c r="F178" s="7" t="s">
        <v>138</v>
      </c>
      <c r="G178" s="4" t="s">
        <v>80</v>
      </c>
      <c r="H178" s="40">
        <f>HYPERLINK("https://www.nite.go.jp/nbrc/catalogue/NBRCMediumDetailServlet?NO=000001",1)</f>
        <v>1</v>
      </c>
      <c r="I178" s="40"/>
      <c r="J178" s="13"/>
    </row>
    <row r="179" spans="1:10" x14ac:dyDescent="0.45">
      <c r="A179" s="5" t="s">
        <v>328</v>
      </c>
      <c r="B179" s="21">
        <v>31064</v>
      </c>
      <c r="C179" s="3" t="s">
        <v>710</v>
      </c>
      <c r="D179" s="3"/>
      <c r="E179" s="3"/>
      <c r="F179" s="7" t="s">
        <v>200</v>
      </c>
      <c r="G179" s="4" t="s">
        <v>201</v>
      </c>
      <c r="H179" s="40">
        <f>HYPERLINK("https://www.nite.go.jp/nbrc/catalogue/NBRCMediumDetailServlet?NO=000006",6)</f>
        <v>6</v>
      </c>
      <c r="I179" s="40"/>
      <c r="J179" s="13"/>
    </row>
    <row r="180" spans="1:10" x14ac:dyDescent="0.45">
      <c r="A180" s="5" t="s">
        <v>329</v>
      </c>
      <c r="B180" s="21">
        <v>31072</v>
      </c>
      <c r="C180" s="3" t="s">
        <v>710</v>
      </c>
      <c r="D180" s="3"/>
      <c r="E180" s="3"/>
      <c r="F180" s="7" t="s">
        <v>30</v>
      </c>
      <c r="G180" s="4" t="s">
        <v>31</v>
      </c>
      <c r="H180" s="40">
        <f>HYPERLINK("https://www.nite.go.jp/nbrc/catalogue/NBRCMediumDetailServlet?NO=000005",5)</f>
        <v>5</v>
      </c>
      <c r="I180" s="40"/>
      <c r="J180" s="13"/>
    </row>
    <row r="181" spans="1:10" x14ac:dyDescent="0.45">
      <c r="A181" s="5" t="s">
        <v>330</v>
      </c>
      <c r="B181" s="21">
        <v>31146</v>
      </c>
      <c r="C181" s="3" t="s">
        <v>710</v>
      </c>
      <c r="D181" s="3"/>
      <c r="E181" s="3"/>
      <c r="F181" s="7" t="s">
        <v>331</v>
      </c>
      <c r="G181" s="4" t="s">
        <v>332</v>
      </c>
      <c r="H181" s="40">
        <f>HYPERLINK("https://www.nite.go.jp/nbrc/catalogue/NBRCMediumDetailServlet?NO=000008",8)</f>
        <v>8</v>
      </c>
      <c r="I181" s="40"/>
      <c r="J181" s="13"/>
    </row>
    <row r="182" spans="1:10" x14ac:dyDescent="0.45">
      <c r="A182" s="5" t="s">
        <v>333</v>
      </c>
      <c r="B182" s="21">
        <v>31731</v>
      </c>
      <c r="C182" s="3" t="s">
        <v>710</v>
      </c>
      <c r="D182" s="3" t="s">
        <v>713</v>
      </c>
      <c r="E182" s="3"/>
      <c r="F182" s="7" t="s">
        <v>334</v>
      </c>
      <c r="G182" s="4" t="s">
        <v>335</v>
      </c>
      <c r="H182" s="40">
        <f>HYPERLINK("https://www.nite.go.jp/nbrc/catalogue/NBRCMediumDetailServlet?NO=000005",5)</f>
        <v>5</v>
      </c>
      <c r="I182" s="40"/>
      <c r="J182" s="13"/>
    </row>
    <row r="183" spans="1:10" x14ac:dyDescent="0.45">
      <c r="A183" s="5" t="s">
        <v>145</v>
      </c>
      <c r="B183" s="21">
        <v>31744</v>
      </c>
      <c r="C183" s="3" t="s">
        <v>710</v>
      </c>
      <c r="D183" s="3" t="s">
        <v>713</v>
      </c>
      <c r="E183" s="3"/>
      <c r="F183" s="7" t="s">
        <v>30</v>
      </c>
      <c r="G183" s="4" t="s">
        <v>31</v>
      </c>
      <c r="H183" s="40">
        <f>HYPERLINK("https://www.nite.go.jp/nbrc/catalogue/NBRCMediumDetailServlet?NO=000001",1)</f>
        <v>1</v>
      </c>
      <c r="I183" s="40"/>
      <c r="J183" s="13"/>
    </row>
    <row r="184" spans="1:10" x14ac:dyDescent="0.45">
      <c r="A184" s="5" t="s">
        <v>336</v>
      </c>
      <c r="B184" s="21">
        <v>31779</v>
      </c>
      <c r="C184" s="3" t="s">
        <v>710</v>
      </c>
      <c r="D184" s="3"/>
      <c r="E184" s="3"/>
      <c r="F184" s="7" t="s">
        <v>203</v>
      </c>
      <c r="G184" s="4" t="s">
        <v>75</v>
      </c>
      <c r="H184" s="40">
        <f>HYPERLINK("https://www.nite.go.jp/nbrc/catalogue/NBRCMediumDetailServlet?NO=000002",2)</f>
        <v>2</v>
      </c>
      <c r="I184" s="40"/>
      <c r="J184" s="13"/>
    </row>
    <row r="185" spans="1:10" x14ac:dyDescent="0.45">
      <c r="A185" s="5" t="s">
        <v>337</v>
      </c>
      <c r="B185" s="21">
        <v>32635</v>
      </c>
      <c r="C185" s="3" t="s">
        <v>710</v>
      </c>
      <c r="D185" s="3"/>
      <c r="E185" s="3"/>
      <c r="F185" s="7" t="s">
        <v>338</v>
      </c>
      <c r="G185" s="4" t="s">
        <v>201</v>
      </c>
      <c r="H185" s="40">
        <f>HYPERLINK("https://www.nite.go.jp/nbrc/catalogue/NBRCMediumDetailServlet?NO=000008",8)</f>
        <v>8</v>
      </c>
      <c r="I185" s="40"/>
      <c r="J185" s="13"/>
    </row>
    <row r="186" spans="1:10" x14ac:dyDescent="0.45">
      <c r="A186" s="5" t="s">
        <v>339</v>
      </c>
      <c r="B186" s="21">
        <v>32950</v>
      </c>
      <c r="C186" s="3" t="s">
        <v>710</v>
      </c>
      <c r="D186" s="3" t="s">
        <v>713</v>
      </c>
      <c r="E186" s="3"/>
      <c r="F186" s="7" t="s">
        <v>754</v>
      </c>
      <c r="G186" s="4" t="s">
        <v>755</v>
      </c>
      <c r="H186" s="40">
        <f>HYPERLINK("https://www.nite.go.jp/nbrc/catalogue/NBRCMediumDetailServlet?NO=000001",1)</f>
        <v>1</v>
      </c>
      <c r="I186" s="40"/>
      <c r="J186" s="13"/>
    </row>
    <row r="187" spans="1:10" x14ac:dyDescent="0.45">
      <c r="A187" s="5" t="s">
        <v>767</v>
      </c>
      <c r="B187" s="21">
        <v>100015</v>
      </c>
      <c r="C187" s="3" t="s">
        <v>709</v>
      </c>
      <c r="D187" s="3" t="s">
        <v>713</v>
      </c>
      <c r="E187" s="3"/>
      <c r="F187" s="7" t="s">
        <v>340</v>
      </c>
      <c r="G187" s="4" t="s">
        <v>184</v>
      </c>
      <c r="H187" s="40">
        <f>HYPERLINK("https://www.nite.go.jp/nbrc/catalogue/NBRCMediumDetailServlet?NO=000385",385)</f>
        <v>385</v>
      </c>
      <c r="I187" s="40"/>
      <c r="J187" s="13" t="s">
        <v>765</v>
      </c>
    </row>
    <row r="188" spans="1:10" x14ac:dyDescent="0.45">
      <c r="A188" s="5" t="s">
        <v>341</v>
      </c>
      <c r="B188" s="21">
        <v>100128</v>
      </c>
      <c r="C188" s="3" t="s">
        <v>709</v>
      </c>
      <c r="D188" s="3" t="s">
        <v>713</v>
      </c>
      <c r="E188" s="3" t="s">
        <v>775</v>
      </c>
      <c r="F188" s="7" t="s">
        <v>203</v>
      </c>
      <c r="G188" s="4" t="s">
        <v>75</v>
      </c>
      <c r="H188" s="40">
        <f t="shared" ref="H188:H195" si="5">HYPERLINK("https://www.nite.go.jp/nbrc/catalogue/NBRCMediumDetailServlet?NO=000229",229)</f>
        <v>229</v>
      </c>
      <c r="I188" s="40"/>
      <c r="J188" s="13"/>
    </row>
    <row r="189" spans="1:10" x14ac:dyDescent="0.45">
      <c r="A189" s="5" t="s">
        <v>342</v>
      </c>
      <c r="B189" s="21">
        <v>100129</v>
      </c>
      <c r="C189" s="3" t="s">
        <v>709</v>
      </c>
      <c r="D189" s="3" t="s">
        <v>713</v>
      </c>
      <c r="E189" s="3" t="s">
        <v>775</v>
      </c>
      <c r="F189" s="7" t="s">
        <v>203</v>
      </c>
      <c r="G189" s="4" t="s">
        <v>75</v>
      </c>
      <c r="H189" s="40">
        <f t="shared" si="5"/>
        <v>229</v>
      </c>
      <c r="I189" s="40"/>
      <c r="J189" s="13"/>
    </row>
    <row r="190" spans="1:10" x14ac:dyDescent="0.45">
      <c r="A190" s="5" t="s">
        <v>343</v>
      </c>
      <c r="B190" s="21">
        <v>100130</v>
      </c>
      <c r="C190" s="3" t="s">
        <v>709</v>
      </c>
      <c r="D190" s="3" t="s">
        <v>713</v>
      </c>
      <c r="E190" s="3" t="s">
        <v>775</v>
      </c>
      <c r="F190" s="7" t="s">
        <v>203</v>
      </c>
      <c r="G190" s="4" t="s">
        <v>75</v>
      </c>
      <c r="H190" s="40">
        <f t="shared" si="5"/>
        <v>229</v>
      </c>
      <c r="I190" s="40"/>
      <c r="J190" s="13"/>
    </row>
    <row r="191" spans="1:10" x14ac:dyDescent="0.45">
      <c r="A191" s="5" t="s">
        <v>344</v>
      </c>
      <c r="B191" s="21">
        <v>100131</v>
      </c>
      <c r="C191" s="3" t="s">
        <v>709</v>
      </c>
      <c r="D191" s="3" t="s">
        <v>713</v>
      </c>
      <c r="E191" s="3" t="s">
        <v>774</v>
      </c>
      <c r="F191" s="7" t="s">
        <v>203</v>
      </c>
      <c r="G191" s="4" t="s">
        <v>75</v>
      </c>
      <c r="H191" s="40">
        <f t="shared" si="5"/>
        <v>229</v>
      </c>
      <c r="I191" s="40"/>
      <c r="J191" s="13"/>
    </row>
    <row r="192" spans="1:10" x14ac:dyDescent="0.45">
      <c r="A192" s="5" t="s">
        <v>345</v>
      </c>
      <c r="B192" s="21">
        <v>100133</v>
      </c>
      <c r="C192" s="3" t="s">
        <v>709</v>
      </c>
      <c r="D192" s="3" t="s">
        <v>713</v>
      </c>
      <c r="E192" s="3" t="s">
        <v>775</v>
      </c>
      <c r="F192" s="7" t="s">
        <v>203</v>
      </c>
      <c r="G192" s="4" t="s">
        <v>75</v>
      </c>
      <c r="H192" s="40">
        <f t="shared" si="5"/>
        <v>229</v>
      </c>
      <c r="I192" s="40"/>
      <c r="J192" s="13"/>
    </row>
    <row r="193" spans="1:10" x14ac:dyDescent="0.45">
      <c r="A193" s="5" t="s">
        <v>346</v>
      </c>
      <c r="B193" s="21">
        <v>100135</v>
      </c>
      <c r="C193" s="3" t="s">
        <v>709</v>
      </c>
      <c r="D193" s="3" t="s">
        <v>713</v>
      </c>
      <c r="E193" s="3" t="s">
        <v>949</v>
      </c>
      <c r="F193" s="7" t="s">
        <v>203</v>
      </c>
      <c r="G193" s="4" t="s">
        <v>75</v>
      </c>
      <c r="H193" s="40">
        <f t="shared" si="5"/>
        <v>229</v>
      </c>
      <c r="I193" s="40"/>
      <c r="J193" s="13"/>
    </row>
    <row r="194" spans="1:10" x14ac:dyDescent="0.45">
      <c r="A194" s="5" t="s">
        <v>347</v>
      </c>
      <c r="B194" s="21">
        <v>100136</v>
      </c>
      <c r="C194" s="3" t="s">
        <v>709</v>
      </c>
      <c r="D194" s="3" t="s">
        <v>713</v>
      </c>
      <c r="E194" s="3" t="s">
        <v>775</v>
      </c>
      <c r="F194" s="7" t="s">
        <v>203</v>
      </c>
      <c r="G194" s="4" t="s">
        <v>75</v>
      </c>
      <c r="H194" s="40">
        <f t="shared" si="5"/>
        <v>229</v>
      </c>
      <c r="I194" s="40"/>
      <c r="J194" s="13"/>
    </row>
    <row r="195" spans="1:10" x14ac:dyDescent="0.45">
      <c r="A195" s="5" t="s">
        <v>348</v>
      </c>
      <c r="B195" s="21">
        <v>100137</v>
      </c>
      <c r="C195" s="3" t="s">
        <v>709</v>
      </c>
      <c r="D195" s="3" t="s">
        <v>713</v>
      </c>
      <c r="E195" s="3" t="s">
        <v>774</v>
      </c>
      <c r="F195" s="7" t="s">
        <v>203</v>
      </c>
      <c r="G195" s="4" t="s">
        <v>75</v>
      </c>
      <c r="H195" s="40">
        <f t="shared" si="5"/>
        <v>229</v>
      </c>
      <c r="I195" s="40"/>
      <c r="J195" s="13"/>
    </row>
    <row r="196" spans="1:10" x14ac:dyDescent="0.45">
      <c r="A196" s="5" t="s">
        <v>349</v>
      </c>
      <c r="B196" s="21">
        <v>100344</v>
      </c>
      <c r="C196" s="3" t="s">
        <v>709</v>
      </c>
      <c r="D196" s="3" t="s">
        <v>713</v>
      </c>
      <c r="E196" s="3" t="s">
        <v>775</v>
      </c>
      <c r="F196" s="7" t="s">
        <v>350</v>
      </c>
      <c r="G196" s="4" t="s">
        <v>351</v>
      </c>
      <c r="H196" s="40">
        <f>HYPERLINK("https://www.nite.go.jp/nbrc/catalogue/NBRCMediumDetailServlet?NO=000231",231)</f>
        <v>231</v>
      </c>
      <c r="I196" s="40"/>
      <c r="J196" s="13"/>
    </row>
    <row r="197" spans="1:10" x14ac:dyDescent="0.45">
      <c r="A197" s="5" t="s">
        <v>352</v>
      </c>
      <c r="B197" s="21">
        <v>100364</v>
      </c>
      <c r="C197" s="3" t="s">
        <v>709</v>
      </c>
      <c r="D197" s="3" t="s">
        <v>713</v>
      </c>
      <c r="E197" s="3" t="s">
        <v>775</v>
      </c>
      <c r="F197" s="7" t="s">
        <v>203</v>
      </c>
      <c r="G197" s="4" t="s">
        <v>75</v>
      </c>
      <c r="H197" s="40">
        <f>HYPERLINK("https://www.nite.go.jp/nbrc/catalogue/NBRCMediumDetailServlet?NO=000229",229)</f>
        <v>229</v>
      </c>
      <c r="I197" s="40"/>
      <c r="J197" s="13"/>
    </row>
    <row r="198" spans="1:10" x14ac:dyDescent="0.45">
      <c r="A198" s="5" t="s">
        <v>353</v>
      </c>
      <c r="B198" s="21">
        <v>100365</v>
      </c>
      <c r="C198" s="3" t="s">
        <v>709</v>
      </c>
      <c r="D198" s="3" t="s">
        <v>713</v>
      </c>
      <c r="E198" s="3" t="s">
        <v>775</v>
      </c>
      <c r="F198" s="7" t="s">
        <v>203</v>
      </c>
      <c r="G198" s="4" t="s">
        <v>75</v>
      </c>
      <c r="H198" s="40">
        <f>HYPERLINK("https://www.nite.go.jp/nbrc/catalogue/NBRCMediumDetailServlet?NO=000229",229)</f>
        <v>229</v>
      </c>
      <c r="I198" s="40"/>
      <c r="J198" s="13"/>
    </row>
    <row r="199" spans="1:10" ht="30" x14ac:dyDescent="0.45">
      <c r="A199" s="5" t="s">
        <v>721</v>
      </c>
      <c r="B199" s="21">
        <v>100372</v>
      </c>
      <c r="C199" s="3" t="s">
        <v>709</v>
      </c>
      <c r="D199" s="3" t="s">
        <v>713</v>
      </c>
      <c r="E199" s="3"/>
      <c r="F199" s="7" t="s">
        <v>354</v>
      </c>
      <c r="G199" s="4" t="s">
        <v>355</v>
      </c>
      <c r="H199" s="40">
        <f>HYPERLINK("https://www.nite.go.jp/nbrc/catalogue/NBRCMediumDetailServlet?NO=000227",227)</f>
        <v>227</v>
      </c>
      <c r="I199" s="40"/>
      <c r="J199" s="13"/>
    </row>
    <row r="200" spans="1:10" x14ac:dyDescent="0.45">
      <c r="A200" s="5" t="s">
        <v>356</v>
      </c>
      <c r="B200" s="21">
        <v>100373</v>
      </c>
      <c r="C200" s="3" t="s">
        <v>709</v>
      </c>
      <c r="D200" s="3" t="s">
        <v>713</v>
      </c>
      <c r="E200" s="3" t="s">
        <v>774</v>
      </c>
      <c r="F200" s="7" t="s">
        <v>11</v>
      </c>
      <c r="G200" s="4" t="s">
        <v>12</v>
      </c>
      <c r="H200" s="40">
        <f>HYPERLINK("https://www.nite.go.jp/nbrc/catalogue/NBRCMediumDetailServlet?NO=000229",229)</f>
        <v>229</v>
      </c>
      <c r="I200" s="40"/>
      <c r="J200" s="13"/>
    </row>
    <row r="201" spans="1:10" ht="30" x14ac:dyDescent="0.45">
      <c r="A201" s="5" t="s">
        <v>357</v>
      </c>
      <c r="B201" s="21">
        <v>100374</v>
      </c>
      <c r="C201" s="3" t="s">
        <v>709</v>
      </c>
      <c r="D201" s="3" t="s">
        <v>713</v>
      </c>
      <c r="E201" s="3" t="s">
        <v>774</v>
      </c>
      <c r="F201" s="7" t="s">
        <v>358</v>
      </c>
      <c r="G201" s="4" t="s">
        <v>359</v>
      </c>
      <c r="H201" s="40">
        <f>HYPERLINK("https://www.nite.go.jp/nbrc/catalogue/NBRCMediumDetailServlet?NO=000229",229)</f>
        <v>229</v>
      </c>
      <c r="I201" s="40"/>
      <c r="J201" s="13"/>
    </row>
    <row r="202" spans="1:10" x14ac:dyDescent="0.45">
      <c r="A202" s="5" t="s">
        <v>360</v>
      </c>
      <c r="B202" s="21">
        <v>100375</v>
      </c>
      <c r="C202" s="3" t="s">
        <v>709</v>
      </c>
      <c r="D202" s="3" t="s">
        <v>713</v>
      </c>
      <c r="E202" s="3" t="s">
        <v>774</v>
      </c>
      <c r="F202" s="7" t="s">
        <v>361</v>
      </c>
      <c r="G202" s="4" t="s">
        <v>148</v>
      </c>
      <c r="H202" s="40">
        <f>HYPERLINK("https://www.nite.go.jp/nbrc/catalogue/NBRCMediumDetailServlet?NO=000229",229)</f>
        <v>229</v>
      </c>
      <c r="I202" s="40"/>
      <c r="J202" s="13"/>
    </row>
    <row r="203" spans="1:10" x14ac:dyDescent="0.45">
      <c r="A203" s="5" t="s">
        <v>362</v>
      </c>
      <c r="B203" s="21">
        <v>100379</v>
      </c>
      <c r="C203" s="3" t="s">
        <v>709</v>
      </c>
      <c r="D203" s="3" t="s">
        <v>713</v>
      </c>
      <c r="E203" s="3" t="s">
        <v>775</v>
      </c>
      <c r="F203" s="7" t="s">
        <v>363</v>
      </c>
      <c r="G203" s="4" t="s">
        <v>364</v>
      </c>
      <c r="H203" s="40">
        <f>HYPERLINK("https://www.nite.go.jp/nbrc/catalogue/NBRCMediumDetailServlet?NO=000229",229)</f>
        <v>229</v>
      </c>
      <c r="I203" s="40"/>
      <c r="J203" s="13"/>
    </row>
    <row r="204" spans="1:10" x14ac:dyDescent="0.45">
      <c r="A204" s="5" t="s">
        <v>365</v>
      </c>
      <c r="B204" s="21">
        <v>100414</v>
      </c>
      <c r="C204" s="3" t="s">
        <v>709</v>
      </c>
      <c r="D204" s="3" t="s">
        <v>713</v>
      </c>
      <c r="E204" s="3" t="s">
        <v>775</v>
      </c>
      <c r="F204" s="7" t="s">
        <v>314</v>
      </c>
      <c r="G204" s="4" t="s">
        <v>315</v>
      </c>
      <c r="H204" s="40">
        <f>HYPERLINK("https://www.nite.go.jp/nbrc/catalogue/NBRCMediumDetailServlet?NO=000227",227)</f>
        <v>227</v>
      </c>
      <c r="I204" s="40"/>
      <c r="J204" s="13"/>
    </row>
    <row r="205" spans="1:10" x14ac:dyDescent="0.45">
      <c r="A205" s="5" t="s">
        <v>366</v>
      </c>
      <c r="B205" s="21">
        <v>100416</v>
      </c>
      <c r="C205" s="3" t="s">
        <v>709</v>
      </c>
      <c r="D205" s="3" t="s">
        <v>713</v>
      </c>
      <c r="E205" s="3" t="s">
        <v>775</v>
      </c>
      <c r="F205" s="7" t="s">
        <v>367</v>
      </c>
      <c r="G205" s="4" t="s">
        <v>368</v>
      </c>
      <c r="H205" s="40">
        <f>HYPERLINK("https://www.nite.go.jp/nbrc/catalogue/NBRCMediumDetailServlet?NO=000802",802)</f>
        <v>802</v>
      </c>
      <c r="I205" s="40"/>
      <c r="J205" s="13"/>
    </row>
    <row r="206" spans="1:10" x14ac:dyDescent="0.45">
      <c r="A206" s="5" t="s">
        <v>369</v>
      </c>
      <c r="B206" s="21">
        <v>100422</v>
      </c>
      <c r="C206" s="3" t="s">
        <v>710</v>
      </c>
      <c r="D206" s="3" t="s">
        <v>713</v>
      </c>
      <c r="E206" s="3"/>
      <c r="F206" s="7" t="s">
        <v>370</v>
      </c>
      <c r="G206" s="4" t="s">
        <v>371</v>
      </c>
      <c r="H206" s="40">
        <f>HYPERLINK("https://www.nite.go.jp/nbrc/catalogue/NBRCMediumDetailServlet?NO=000005",5)</f>
        <v>5</v>
      </c>
      <c r="I206" s="40"/>
      <c r="J206" s="13"/>
    </row>
    <row r="207" spans="1:10" x14ac:dyDescent="0.45">
      <c r="A207" s="5" t="s">
        <v>372</v>
      </c>
      <c r="B207" s="21">
        <v>100426</v>
      </c>
      <c r="C207" s="3" t="s">
        <v>709</v>
      </c>
      <c r="D207" s="3" t="s">
        <v>713</v>
      </c>
      <c r="E207" s="3"/>
      <c r="F207" s="7" t="s">
        <v>203</v>
      </c>
      <c r="G207" s="4" t="s">
        <v>75</v>
      </c>
      <c r="H207" s="40">
        <f t="shared" ref="H207:H214" si="6">HYPERLINK("https://www.nite.go.jp/nbrc/catalogue/NBRCMediumDetailServlet?NO=000802",802)</f>
        <v>802</v>
      </c>
      <c r="I207" s="40"/>
      <c r="J207" s="13"/>
    </row>
    <row r="208" spans="1:10" x14ac:dyDescent="0.45">
      <c r="A208" s="5" t="s">
        <v>373</v>
      </c>
      <c r="B208" s="21">
        <v>100427</v>
      </c>
      <c r="C208" s="3" t="s">
        <v>709</v>
      </c>
      <c r="D208" s="3" t="s">
        <v>713</v>
      </c>
      <c r="E208" s="3"/>
      <c r="F208" s="7" t="s">
        <v>203</v>
      </c>
      <c r="G208" s="4" t="s">
        <v>75</v>
      </c>
      <c r="H208" s="40">
        <f t="shared" si="6"/>
        <v>802</v>
      </c>
      <c r="I208" s="40"/>
      <c r="J208" s="13"/>
    </row>
    <row r="209" spans="1:10" x14ac:dyDescent="0.45">
      <c r="A209" s="5" t="s">
        <v>374</v>
      </c>
      <c r="B209" s="21">
        <v>100428</v>
      </c>
      <c r="C209" s="3" t="s">
        <v>709</v>
      </c>
      <c r="D209" s="3" t="s">
        <v>713</v>
      </c>
      <c r="E209" s="3"/>
      <c r="F209" s="7" t="s">
        <v>203</v>
      </c>
      <c r="G209" s="4" t="s">
        <v>75</v>
      </c>
      <c r="H209" s="40">
        <f t="shared" si="6"/>
        <v>802</v>
      </c>
      <c r="I209" s="40"/>
      <c r="J209" s="13"/>
    </row>
    <row r="210" spans="1:10" x14ac:dyDescent="0.45">
      <c r="A210" s="5" t="s">
        <v>375</v>
      </c>
      <c r="B210" s="21">
        <v>100429</v>
      </c>
      <c r="C210" s="3" t="s">
        <v>709</v>
      </c>
      <c r="D210" s="3" t="s">
        <v>713</v>
      </c>
      <c r="E210" s="3" t="s">
        <v>774</v>
      </c>
      <c r="F210" s="7" t="s">
        <v>203</v>
      </c>
      <c r="G210" s="4" t="s">
        <v>75</v>
      </c>
      <c r="H210" s="40">
        <f t="shared" si="6"/>
        <v>802</v>
      </c>
      <c r="I210" s="40"/>
      <c r="J210" s="13"/>
    </row>
    <row r="211" spans="1:10" x14ac:dyDescent="0.45">
      <c r="A211" s="5" t="s">
        <v>376</v>
      </c>
      <c r="B211" s="21">
        <v>100430</v>
      </c>
      <c r="C211" s="3" t="s">
        <v>709</v>
      </c>
      <c r="D211" s="3" t="s">
        <v>713</v>
      </c>
      <c r="E211" s="3" t="s">
        <v>774</v>
      </c>
      <c r="F211" s="7" t="s">
        <v>203</v>
      </c>
      <c r="G211" s="4" t="s">
        <v>75</v>
      </c>
      <c r="H211" s="40">
        <f t="shared" si="6"/>
        <v>802</v>
      </c>
      <c r="I211" s="40"/>
      <c r="J211" s="13"/>
    </row>
    <row r="212" spans="1:10" x14ac:dyDescent="0.45">
      <c r="A212" s="5" t="s">
        <v>377</v>
      </c>
      <c r="B212" s="21">
        <v>100432</v>
      </c>
      <c r="C212" s="3" t="s">
        <v>709</v>
      </c>
      <c r="D212" s="3" t="s">
        <v>713</v>
      </c>
      <c r="E212" s="3"/>
      <c r="F212" s="7" t="s">
        <v>203</v>
      </c>
      <c r="G212" s="4" t="s">
        <v>75</v>
      </c>
      <c r="H212" s="40">
        <f t="shared" si="6"/>
        <v>802</v>
      </c>
      <c r="I212" s="40"/>
      <c r="J212" s="13"/>
    </row>
    <row r="213" spans="1:10" x14ac:dyDescent="0.45">
      <c r="A213" s="5" t="s">
        <v>378</v>
      </c>
      <c r="B213" s="21">
        <v>100433</v>
      </c>
      <c r="C213" s="3" t="s">
        <v>709</v>
      </c>
      <c r="D213" s="3" t="s">
        <v>713</v>
      </c>
      <c r="E213" s="3"/>
      <c r="F213" s="7" t="s">
        <v>203</v>
      </c>
      <c r="G213" s="4" t="s">
        <v>75</v>
      </c>
      <c r="H213" s="40">
        <f t="shared" si="6"/>
        <v>802</v>
      </c>
      <c r="I213" s="40"/>
      <c r="J213" s="13"/>
    </row>
    <row r="214" spans="1:10" x14ac:dyDescent="0.45">
      <c r="A214" s="5" t="s">
        <v>379</v>
      </c>
      <c r="B214" s="21">
        <v>100462</v>
      </c>
      <c r="C214" s="3" t="s">
        <v>709</v>
      </c>
      <c r="D214" s="3" t="s">
        <v>713</v>
      </c>
      <c r="E214" s="3"/>
      <c r="F214" s="7" t="s">
        <v>203</v>
      </c>
      <c r="G214" s="4" t="s">
        <v>75</v>
      </c>
      <c r="H214" s="40">
        <f t="shared" si="6"/>
        <v>802</v>
      </c>
      <c r="I214" s="40"/>
      <c r="J214" s="13"/>
    </row>
    <row r="215" spans="1:10" ht="30" x14ac:dyDescent="0.45">
      <c r="A215" s="5" t="s">
        <v>380</v>
      </c>
      <c r="B215" s="21">
        <v>100477</v>
      </c>
      <c r="C215" s="3" t="s">
        <v>709</v>
      </c>
      <c r="D215" s="3" t="s">
        <v>713</v>
      </c>
      <c r="E215" s="3" t="s">
        <v>775</v>
      </c>
      <c r="F215" s="7" t="s">
        <v>381</v>
      </c>
      <c r="G215" s="4" t="s">
        <v>764</v>
      </c>
      <c r="H215" s="40">
        <f>HYPERLINK("https://www.nite.go.jp/nbrc/catalogue/NBRCMediumDetailServlet?NO=000814",814)</f>
        <v>814</v>
      </c>
      <c r="I215" s="40">
        <f>HYPERLINK("https://www.nite.go.jp/nbrc/catalogue/NBRCMediumDetailServlet?NO=000310",310)</f>
        <v>310</v>
      </c>
      <c r="J215" s="13" t="s">
        <v>779</v>
      </c>
    </row>
    <row r="216" spans="1:10" ht="30" x14ac:dyDescent="0.45">
      <c r="A216" s="5" t="s">
        <v>382</v>
      </c>
      <c r="B216" s="21">
        <v>100492</v>
      </c>
      <c r="C216" s="3" t="s">
        <v>709</v>
      </c>
      <c r="D216" s="3" t="s">
        <v>713</v>
      </c>
      <c r="E216" s="3" t="s">
        <v>775</v>
      </c>
      <c r="F216" s="7" t="s">
        <v>305</v>
      </c>
      <c r="G216" s="4" t="s">
        <v>306</v>
      </c>
      <c r="H216" s="40">
        <f>HYPERLINK("https://www.nite.go.jp/nbrc/catalogue/NBRCMediumDetailServlet?NO=000814",814)</f>
        <v>814</v>
      </c>
      <c r="I216" s="40"/>
      <c r="J216" s="13" t="s">
        <v>779</v>
      </c>
    </row>
    <row r="217" spans="1:10" ht="30" x14ac:dyDescent="0.45">
      <c r="A217" s="5" t="s">
        <v>383</v>
      </c>
      <c r="B217" s="21">
        <v>100494</v>
      </c>
      <c r="C217" s="3" t="s">
        <v>709</v>
      </c>
      <c r="D217" s="3" t="s">
        <v>713</v>
      </c>
      <c r="E217" s="3" t="s">
        <v>775</v>
      </c>
      <c r="F217" s="7" t="s">
        <v>384</v>
      </c>
      <c r="G217" s="4" t="s">
        <v>385</v>
      </c>
      <c r="H217" s="40">
        <f>HYPERLINK("https://www.nite.go.jp/nbrc/catalogue/NBRCMediumDetailServlet?NO=000814",814)</f>
        <v>814</v>
      </c>
      <c r="I217" s="40"/>
      <c r="J217" s="13" t="s">
        <v>779</v>
      </c>
    </row>
    <row r="218" spans="1:10" ht="30" x14ac:dyDescent="0.45">
      <c r="A218" s="5" t="s">
        <v>386</v>
      </c>
      <c r="B218" s="21">
        <v>100602</v>
      </c>
      <c r="C218" s="3" t="s">
        <v>709</v>
      </c>
      <c r="D218" s="3"/>
      <c r="E218" s="3" t="s">
        <v>774</v>
      </c>
      <c r="F218" s="7" t="s">
        <v>387</v>
      </c>
      <c r="G218" s="4" t="s">
        <v>37</v>
      </c>
      <c r="H218" s="40">
        <f>HYPERLINK("https://www.nite.go.jp/nbrc/catalogue/NBRCMediumDetailServlet?NO=000804",804)</f>
        <v>804</v>
      </c>
      <c r="I218" s="40"/>
      <c r="J218" s="13" t="s">
        <v>779</v>
      </c>
    </row>
    <row r="219" spans="1:10" ht="30" x14ac:dyDescent="0.45">
      <c r="A219" s="5" t="s">
        <v>388</v>
      </c>
      <c r="B219" s="21">
        <v>100660</v>
      </c>
      <c r="C219" s="3" t="s">
        <v>709</v>
      </c>
      <c r="D219" s="3" t="s">
        <v>713</v>
      </c>
      <c r="E219" s="3" t="s">
        <v>775</v>
      </c>
      <c r="F219" s="7" t="s">
        <v>389</v>
      </c>
      <c r="G219" s="4" t="s">
        <v>390</v>
      </c>
      <c r="H219" s="40">
        <f>HYPERLINK("https://www.nite.go.jp/nbrc/catalogue/NBRCMediumDetailServlet?NO=000802",802)</f>
        <v>802</v>
      </c>
      <c r="I219" s="40"/>
      <c r="J219" s="13"/>
    </row>
    <row r="220" spans="1:10" x14ac:dyDescent="0.45">
      <c r="A220" s="5" t="s">
        <v>940</v>
      </c>
      <c r="B220" s="21">
        <v>100670</v>
      </c>
      <c r="C220" s="3" t="s">
        <v>711</v>
      </c>
      <c r="D220" s="3" t="s">
        <v>713</v>
      </c>
      <c r="E220" s="3"/>
      <c r="F220" s="7" t="s">
        <v>45</v>
      </c>
      <c r="G220" s="4" t="s">
        <v>46</v>
      </c>
      <c r="H220" s="40">
        <f>HYPERLINK("https://www.nite.go.jp/nbrc/catalogue/NBRCMediumDetailServlet?NO=000108",108)</f>
        <v>108</v>
      </c>
      <c r="I220" s="40"/>
      <c r="J220" s="13"/>
    </row>
    <row r="221" spans="1:10" ht="30" x14ac:dyDescent="0.45">
      <c r="A221" s="5" t="s">
        <v>391</v>
      </c>
      <c r="B221" s="21">
        <v>100678</v>
      </c>
      <c r="C221" s="3" t="s">
        <v>709</v>
      </c>
      <c r="D221" s="3" t="s">
        <v>713</v>
      </c>
      <c r="E221" s="3" t="s">
        <v>775</v>
      </c>
      <c r="F221" s="7" t="s">
        <v>392</v>
      </c>
      <c r="G221" s="4" t="s">
        <v>355</v>
      </c>
      <c r="H221" s="40">
        <f>HYPERLINK("https://www.nite.go.jp/nbrc/catalogue/NBRCMediumDetailServlet?NO=000310",310)</f>
        <v>310</v>
      </c>
      <c r="I221" s="40"/>
      <c r="J221" s="13" t="s">
        <v>779</v>
      </c>
    </row>
    <row r="222" spans="1:10" ht="30" x14ac:dyDescent="0.45">
      <c r="A222" s="5" t="s">
        <v>393</v>
      </c>
      <c r="B222" s="21">
        <v>100679</v>
      </c>
      <c r="C222" s="3" t="s">
        <v>709</v>
      </c>
      <c r="D222" s="3"/>
      <c r="E222" s="3" t="s">
        <v>775</v>
      </c>
      <c r="F222" s="7" t="s">
        <v>394</v>
      </c>
      <c r="G222" s="4" t="s">
        <v>395</v>
      </c>
      <c r="H222" s="40">
        <f>HYPERLINK("https://www.nite.go.jp/nbrc/catalogue/NBRCMediumDetailServlet?NO=000310",310)</f>
        <v>310</v>
      </c>
      <c r="I222" s="40"/>
      <c r="J222" s="13" t="s">
        <v>779</v>
      </c>
    </row>
    <row r="223" spans="1:10" ht="30" x14ac:dyDescent="0.45">
      <c r="A223" s="5" t="s">
        <v>396</v>
      </c>
      <c r="B223" s="21">
        <v>100696</v>
      </c>
      <c r="C223" s="3" t="s">
        <v>709</v>
      </c>
      <c r="D223" s="3" t="s">
        <v>713</v>
      </c>
      <c r="E223" s="3"/>
      <c r="F223" s="7" t="s">
        <v>397</v>
      </c>
      <c r="G223" s="4" t="s">
        <v>398</v>
      </c>
      <c r="H223" s="40">
        <f>HYPERLINK("https://www.nite.go.jp/nbrc/catalogue/NBRCMediumDetailServlet?NO=000310",310)</f>
        <v>310</v>
      </c>
      <c r="I223" s="40"/>
      <c r="J223" s="13" t="s">
        <v>779</v>
      </c>
    </row>
    <row r="224" spans="1:10" ht="30" x14ac:dyDescent="0.45">
      <c r="A224" s="5" t="s">
        <v>399</v>
      </c>
      <c r="B224" s="21">
        <v>100697</v>
      </c>
      <c r="C224" s="3" t="s">
        <v>709</v>
      </c>
      <c r="D224" s="3" t="s">
        <v>713</v>
      </c>
      <c r="E224" s="3"/>
      <c r="F224" s="7" t="s">
        <v>864</v>
      </c>
      <c r="G224" s="4" t="s">
        <v>400</v>
      </c>
      <c r="H224" s="40">
        <f>HYPERLINK("https://www.nite.go.jp/nbrc/catalogue/NBRCMediumDetailServlet?NO=000310",310)</f>
        <v>310</v>
      </c>
      <c r="I224" s="40"/>
      <c r="J224" s="13" t="s">
        <v>779</v>
      </c>
    </row>
    <row r="225" spans="1:10" x14ac:dyDescent="0.45">
      <c r="A225" s="5" t="s">
        <v>401</v>
      </c>
      <c r="B225" s="21">
        <v>100888</v>
      </c>
      <c r="C225" s="3" t="s">
        <v>709</v>
      </c>
      <c r="D225" s="3" t="s">
        <v>713</v>
      </c>
      <c r="E225" s="3"/>
      <c r="F225" s="7" t="s">
        <v>402</v>
      </c>
      <c r="G225" s="4" t="s">
        <v>31</v>
      </c>
      <c r="H225" s="40">
        <f>HYPERLINK("https://www.nite.go.jp/nbrc/catalogue/NBRCMediumDetailServlet?NO=000227",227)</f>
        <v>227</v>
      </c>
      <c r="I225" s="40"/>
      <c r="J225" s="13"/>
    </row>
    <row r="226" spans="1:10" x14ac:dyDescent="0.45">
      <c r="A226" s="5" t="s">
        <v>403</v>
      </c>
      <c r="B226" s="21">
        <v>100905</v>
      </c>
      <c r="C226" s="3" t="s">
        <v>710</v>
      </c>
      <c r="D226" s="3" t="s">
        <v>713</v>
      </c>
      <c r="E226" s="3"/>
      <c r="F226" s="7" t="s">
        <v>404</v>
      </c>
      <c r="G226" s="4" t="s">
        <v>405</v>
      </c>
      <c r="H226" s="40">
        <f>HYPERLINK("https://www.nite.go.jp/nbrc/catalogue/NBRCMediumDetailServlet?NO=000008",8)</f>
        <v>8</v>
      </c>
      <c r="I226" s="40"/>
      <c r="J226" s="13"/>
    </row>
    <row r="227" spans="1:10" x14ac:dyDescent="0.45">
      <c r="A227" s="5" t="s">
        <v>720</v>
      </c>
      <c r="B227" s="21">
        <v>100910</v>
      </c>
      <c r="C227" s="3" t="s">
        <v>709</v>
      </c>
      <c r="D227" s="3" t="s">
        <v>713</v>
      </c>
      <c r="E227" s="3" t="s">
        <v>774</v>
      </c>
      <c r="F227" s="7" t="s">
        <v>406</v>
      </c>
      <c r="G227" s="4" t="s">
        <v>407</v>
      </c>
      <c r="H227" s="40">
        <f>HYPERLINK("https://www.nite.go.jp/nbrc/catalogue/NBRCMediumDetailServlet?NO=000802",802)</f>
        <v>802</v>
      </c>
      <c r="I227" s="40"/>
      <c r="J227" s="13"/>
    </row>
    <row r="228" spans="1:10" x14ac:dyDescent="0.45">
      <c r="A228" s="5" t="s">
        <v>408</v>
      </c>
      <c r="B228" s="21">
        <v>101016</v>
      </c>
      <c r="C228" s="3" t="s">
        <v>709</v>
      </c>
      <c r="D228" s="3" t="s">
        <v>713</v>
      </c>
      <c r="E228" s="3" t="s">
        <v>775</v>
      </c>
      <c r="F228" s="7" t="s">
        <v>409</v>
      </c>
      <c r="G228" s="4" t="s">
        <v>410</v>
      </c>
      <c r="H228" s="40">
        <f>HYPERLINK("https://www.nite.go.jp/nbrc/catalogue/NBRCMediumDetailServlet?NO=000227",227)</f>
        <v>227</v>
      </c>
      <c r="I228" s="40"/>
      <c r="J228" s="13"/>
    </row>
    <row r="229" spans="1:10" x14ac:dyDescent="0.45">
      <c r="A229" s="5" t="s">
        <v>411</v>
      </c>
      <c r="B229" s="21">
        <v>101593</v>
      </c>
      <c r="C229" s="3" t="s">
        <v>711</v>
      </c>
      <c r="D229" s="3"/>
      <c r="E229" s="3"/>
      <c r="F229" s="7" t="s">
        <v>412</v>
      </c>
      <c r="G229" s="4" t="s">
        <v>80</v>
      </c>
      <c r="H229" s="40">
        <f>HYPERLINK("https://www.nite.go.jp/nbrc/catalogue/NBRCMediumDetailServlet?NO=000103",103)</f>
        <v>103</v>
      </c>
      <c r="I229" s="40"/>
      <c r="J229" s="13"/>
    </row>
    <row r="230" spans="1:10" x14ac:dyDescent="0.45">
      <c r="A230" s="5" t="s">
        <v>411</v>
      </c>
      <c r="B230" s="21">
        <v>101594</v>
      </c>
      <c r="C230" s="3" t="s">
        <v>711</v>
      </c>
      <c r="D230" s="3"/>
      <c r="E230" s="3"/>
      <c r="F230" s="7" t="s">
        <v>412</v>
      </c>
      <c r="G230" s="4" t="s">
        <v>80</v>
      </c>
      <c r="H230" s="40">
        <f>HYPERLINK("https://www.nite.go.jp/nbrc/catalogue/NBRCMediumDetailServlet?NO=000103",103)</f>
        <v>103</v>
      </c>
      <c r="I230" s="40"/>
      <c r="J230" s="13"/>
    </row>
    <row r="231" spans="1:10" x14ac:dyDescent="0.45">
      <c r="A231" s="5" t="s">
        <v>411</v>
      </c>
      <c r="B231" s="21">
        <v>101595</v>
      </c>
      <c r="C231" s="3" t="s">
        <v>711</v>
      </c>
      <c r="D231" s="3"/>
      <c r="E231" s="3"/>
      <c r="F231" s="7" t="s">
        <v>412</v>
      </c>
      <c r="G231" s="4" t="s">
        <v>80</v>
      </c>
      <c r="H231" s="40">
        <f>HYPERLINK("https://www.nite.go.jp/nbrc/catalogue/NBRCMediumDetailServlet?NO=000103",103)</f>
        <v>103</v>
      </c>
      <c r="I231" s="40"/>
      <c r="J231" s="13"/>
    </row>
    <row r="232" spans="1:10" x14ac:dyDescent="0.45">
      <c r="A232" s="5" t="s">
        <v>411</v>
      </c>
      <c r="B232" s="21">
        <v>101596</v>
      </c>
      <c r="C232" s="3" t="s">
        <v>711</v>
      </c>
      <c r="D232" s="3"/>
      <c r="E232" s="3"/>
      <c r="F232" s="7" t="s">
        <v>412</v>
      </c>
      <c r="G232" s="4" t="s">
        <v>80</v>
      </c>
      <c r="H232" s="40">
        <f>HYPERLINK("https://www.nite.go.jp/nbrc/catalogue/NBRCMediumDetailServlet?NO=000103",103)</f>
        <v>103</v>
      </c>
      <c r="I232" s="40"/>
      <c r="J232" s="13"/>
    </row>
    <row r="233" spans="1:10" x14ac:dyDescent="0.45">
      <c r="A233" s="5" t="s">
        <v>413</v>
      </c>
      <c r="B233" s="21">
        <v>101597</v>
      </c>
      <c r="C233" s="3" t="s">
        <v>711</v>
      </c>
      <c r="D233" s="3"/>
      <c r="E233" s="3"/>
      <c r="F233" s="7" t="s">
        <v>412</v>
      </c>
      <c r="G233" s="4" t="s">
        <v>80</v>
      </c>
      <c r="H233" s="40">
        <f>HYPERLINK("https://www.nite.go.jp/nbrc/catalogue/NBRCMediumDetailServlet?NO=001390",1390)</f>
        <v>1390</v>
      </c>
      <c r="I233" s="40">
        <f>HYPERLINK("https://www.nite.go.jp/nbrc/catalogue/NBRCMediumDetailServlet?NO=000103",103)</f>
        <v>103</v>
      </c>
      <c r="J233" s="13"/>
    </row>
    <row r="234" spans="1:10" x14ac:dyDescent="0.45">
      <c r="A234" s="5" t="s">
        <v>411</v>
      </c>
      <c r="B234" s="21">
        <v>101598</v>
      </c>
      <c r="C234" s="3" t="s">
        <v>711</v>
      </c>
      <c r="D234" s="3"/>
      <c r="E234" s="3"/>
      <c r="F234" s="7" t="s">
        <v>412</v>
      </c>
      <c r="G234" s="4" t="s">
        <v>80</v>
      </c>
      <c r="H234" s="40">
        <f t="shared" ref="H234:H248" si="7">HYPERLINK("https://www.nite.go.jp/nbrc/catalogue/NBRCMediumDetailServlet?NO=000103",103)</f>
        <v>103</v>
      </c>
      <c r="I234" s="40"/>
      <c r="J234" s="13"/>
    </row>
    <row r="235" spans="1:10" x14ac:dyDescent="0.45">
      <c r="A235" s="5" t="s">
        <v>411</v>
      </c>
      <c r="B235" s="21">
        <v>101599</v>
      </c>
      <c r="C235" s="3" t="s">
        <v>711</v>
      </c>
      <c r="D235" s="3"/>
      <c r="E235" s="3"/>
      <c r="F235" s="7" t="s">
        <v>412</v>
      </c>
      <c r="G235" s="4" t="s">
        <v>80</v>
      </c>
      <c r="H235" s="40">
        <f t="shared" si="7"/>
        <v>103</v>
      </c>
      <c r="I235" s="40"/>
      <c r="J235" s="13"/>
    </row>
    <row r="236" spans="1:10" x14ac:dyDescent="0.45">
      <c r="A236" s="5" t="s">
        <v>411</v>
      </c>
      <c r="B236" s="21">
        <v>101600</v>
      </c>
      <c r="C236" s="3" t="s">
        <v>711</v>
      </c>
      <c r="D236" s="3"/>
      <c r="E236" s="3"/>
      <c r="F236" s="7" t="s">
        <v>412</v>
      </c>
      <c r="G236" s="4" t="s">
        <v>80</v>
      </c>
      <c r="H236" s="40">
        <f t="shared" si="7"/>
        <v>103</v>
      </c>
      <c r="I236" s="40"/>
      <c r="J236" s="13"/>
    </row>
    <row r="237" spans="1:10" x14ac:dyDescent="0.45">
      <c r="A237" s="5" t="s">
        <v>411</v>
      </c>
      <c r="B237" s="21">
        <v>101601</v>
      </c>
      <c r="C237" s="3" t="s">
        <v>711</v>
      </c>
      <c r="D237" s="3"/>
      <c r="E237" s="3"/>
      <c r="F237" s="7" t="s">
        <v>412</v>
      </c>
      <c r="G237" s="4" t="s">
        <v>80</v>
      </c>
      <c r="H237" s="40">
        <f t="shared" si="7"/>
        <v>103</v>
      </c>
      <c r="I237" s="40"/>
      <c r="J237" s="13"/>
    </row>
    <row r="238" spans="1:10" x14ac:dyDescent="0.45">
      <c r="A238" s="5" t="s">
        <v>411</v>
      </c>
      <c r="B238" s="21">
        <v>101602</v>
      </c>
      <c r="C238" s="3" t="s">
        <v>711</v>
      </c>
      <c r="D238" s="3"/>
      <c r="E238" s="3"/>
      <c r="F238" s="7" t="s">
        <v>412</v>
      </c>
      <c r="G238" s="4" t="s">
        <v>80</v>
      </c>
      <c r="H238" s="40">
        <f t="shared" si="7"/>
        <v>103</v>
      </c>
      <c r="I238" s="40"/>
      <c r="J238" s="13"/>
    </row>
    <row r="239" spans="1:10" x14ac:dyDescent="0.45">
      <c r="A239" s="5" t="s">
        <v>414</v>
      </c>
      <c r="B239" s="21">
        <v>101603</v>
      </c>
      <c r="C239" s="3" t="s">
        <v>711</v>
      </c>
      <c r="D239" s="3"/>
      <c r="E239" s="3"/>
      <c r="F239" s="7" t="s">
        <v>412</v>
      </c>
      <c r="G239" s="4" t="s">
        <v>80</v>
      </c>
      <c r="H239" s="40">
        <f t="shared" si="7"/>
        <v>103</v>
      </c>
      <c r="I239" s="40"/>
      <c r="J239" s="13"/>
    </row>
    <row r="240" spans="1:10" x14ac:dyDescent="0.45">
      <c r="A240" s="5" t="s">
        <v>414</v>
      </c>
      <c r="B240" s="21">
        <v>101604</v>
      </c>
      <c r="C240" s="3" t="s">
        <v>711</v>
      </c>
      <c r="D240" s="3"/>
      <c r="E240" s="3"/>
      <c r="F240" s="7" t="s">
        <v>412</v>
      </c>
      <c r="G240" s="4" t="s">
        <v>80</v>
      </c>
      <c r="H240" s="40">
        <f t="shared" si="7"/>
        <v>103</v>
      </c>
      <c r="I240" s="40">
        <f>HYPERLINK("https://www.nite.go.jp/nbrc/catalogue/NBRCMediumDetailServlet?NO=001136",1136)</f>
        <v>1136</v>
      </c>
      <c r="J240" s="13"/>
    </row>
    <row r="241" spans="1:10" x14ac:dyDescent="0.45">
      <c r="A241" s="5" t="s">
        <v>411</v>
      </c>
      <c r="B241" s="21">
        <v>101605</v>
      </c>
      <c r="C241" s="3" t="s">
        <v>711</v>
      </c>
      <c r="D241" s="3"/>
      <c r="E241" s="3"/>
      <c r="F241" s="7" t="s">
        <v>412</v>
      </c>
      <c r="G241" s="4" t="s">
        <v>80</v>
      </c>
      <c r="H241" s="40">
        <f t="shared" si="7"/>
        <v>103</v>
      </c>
      <c r="I241" s="40"/>
      <c r="J241" s="13"/>
    </row>
    <row r="242" spans="1:10" x14ac:dyDescent="0.45">
      <c r="A242" s="5" t="s">
        <v>411</v>
      </c>
      <c r="B242" s="21">
        <v>101606</v>
      </c>
      <c r="C242" s="3" t="s">
        <v>711</v>
      </c>
      <c r="D242" s="3"/>
      <c r="E242" s="3"/>
      <c r="F242" s="7" t="s">
        <v>412</v>
      </c>
      <c r="G242" s="4" t="s">
        <v>80</v>
      </c>
      <c r="H242" s="40">
        <f t="shared" si="7"/>
        <v>103</v>
      </c>
      <c r="I242" s="40"/>
      <c r="J242" s="13"/>
    </row>
    <row r="243" spans="1:10" x14ac:dyDescent="0.45">
      <c r="A243" s="5" t="s">
        <v>411</v>
      </c>
      <c r="B243" s="21">
        <v>101607</v>
      </c>
      <c r="C243" s="3" t="s">
        <v>711</v>
      </c>
      <c r="D243" s="3"/>
      <c r="E243" s="3"/>
      <c r="F243" s="7" t="s">
        <v>412</v>
      </c>
      <c r="G243" s="4" t="s">
        <v>80</v>
      </c>
      <c r="H243" s="40">
        <f t="shared" si="7"/>
        <v>103</v>
      </c>
      <c r="I243" s="40"/>
      <c r="J243" s="13"/>
    </row>
    <row r="244" spans="1:10" x14ac:dyDescent="0.45">
      <c r="A244" s="5" t="s">
        <v>411</v>
      </c>
      <c r="B244" s="21">
        <v>101608</v>
      </c>
      <c r="C244" s="3" t="s">
        <v>711</v>
      </c>
      <c r="D244" s="3"/>
      <c r="E244" s="3"/>
      <c r="F244" s="7" t="s">
        <v>412</v>
      </c>
      <c r="G244" s="4" t="s">
        <v>80</v>
      </c>
      <c r="H244" s="40">
        <f t="shared" si="7"/>
        <v>103</v>
      </c>
      <c r="I244" s="40"/>
      <c r="J244" s="13"/>
    </row>
    <row r="245" spans="1:10" x14ac:dyDescent="0.45">
      <c r="A245" s="5" t="s">
        <v>411</v>
      </c>
      <c r="B245" s="21">
        <v>101609</v>
      </c>
      <c r="C245" s="3" t="s">
        <v>711</v>
      </c>
      <c r="D245" s="3"/>
      <c r="E245" s="3"/>
      <c r="F245" s="7" t="s">
        <v>412</v>
      </c>
      <c r="G245" s="4" t="s">
        <v>80</v>
      </c>
      <c r="H245" s="40">
        <f t="shared" si="7"/>
        <v>103</v>
      </c>
      <c r="I245" s="40"/>
      <c r="J245" s="13"/>
    </row>
    <row r="246" spans="1:10" x14ac:dyDescent="0.45">
      <c r="A246" s="5" t="s">
        <v>411</v>
      </c>
      <c r="B246" s="21">
        <v>101610</v>
      </c>
      <c r="C246" s="3" t="s">
        <v>711</v>
      </c>
      <c r="D246" s="3"/>
      <c r="E246" s="3"/>
      <c r="F246" s="7" t="s">
        <v>412</v>
      </c>
      <c r="G246" s="4" t="s">
        <v>80</v>
      </c>
      <c r="H246" s="40">
        <f t="shared" si="7"/>
        <v>103</v>
      </c>
      <c r="I246" s="40"/>
      <c r="J246" s="13"/>
    </row>
    <row r="247" spans="1:10" x14ac:dyDescent="0.45">
      <c r="A247" s="5" t="s">
        <v>414</v>
      </c>
      <c r="B247" s="21">
        <v>101613</v>
      </c>
      <c r="C247" s="3" t="s">
        <v>711</v>
      </c>
      <c r="D247" s="3" t="s">
        <v>713</v>
      </c>
      <c r="E247" s="3"/>
      <c r="F247" s="7" t="s">
        <v>412</v>
      </c>
      <c r="G247" s="4" t="s">
        <v>80</v>
      </c>
      <c r="H247" s="40">
        <f t="shared" si="7"/>
        <v>103</v>
      </c>
      <c r="I247" s="40"/>
      <c r="J247" s="13"/>
    </row>
    <row r="248" spans="1:10" x14ac:dyDescent="0.45">
      <c r="A248" s="5" t="s">
        <v>414</v>
      </c>
      <c r="B248" s="21">
        <v>101614</v>
      </c>
      <c r="C248" s="3" t="s">
        <v>711</v>
      </c>
      <c r="D248" s="3"/>
      <c r="E248" s="3"/>
      <c r="F248" s="7" t="s">
        <v>412</v>
      </c>
      <c r="G248" s="4" t="s">
        <v>80</v>
      </c>
      <c r="H248" s="40">
        <f t="shared" si="7"/>
        <v>103</v>
      </c>
      <c r="I248" s="40"/>
      <c r="J248" s="13"/>
    </row>
    <row r="249" spans="1:10" x14ac:dyDescent="0.45">
      <c r="A249" s="5" t="s">
        <v>415</v>
      </c>
      <c r="B249" s="21">
        <v>101678</v>
      </c>
      <c r="C249" s="3" t="s">
        <v>710</v>
      </c>
      <c r="D249" s="3"/>
      <c r="E249" s="3"/>
      <c r="F249" s="7" t="s">
        <v>416</v>
      </c>
      <c r="G249" s="4" t="s">
        <v>417</v>
      </c>
      <c r="H249" s="40">
        <f>HYPERLINK("https://www.nite.go.jp/nbrc/catalogue/NBRCMediumDetailServlet?NO=000001",1)</f>
        <v>1</v>
      </c>
      <c r="I249" s="40"/>
      <c r="J249" s="13"/>
    </row>
    <row r="250" spans="1:10" x14ac:dyDescent="0.45">
      <c r="A250" s="5" t="s">
        <v>418</v>
      </c>
      <c r="B250" s="21">
        <v>102135</v>
      </c>
      <c r="C250" s="3" t="s">
        <v>709</v>
      </c>
      <c r="D250" s="3"/>
      <c r="E250" s="3" t="s">
        <v>774</v>
      </c>
      <c r="F250" s="7" t="s">
        <v>419</v>
      </c>
      <c r="G250" s="4" t="s">
        <v>355</v>
      </c>
      <c r="H250" s="40">
        <f t="shared" ref="H250:H256" si="8">HYPERLINK("https://www.nite.go.jp/nbrc/catalogue/NBRCMediumDetailServlet?NO=000802",802)</f>
        <v>802</v>
      </c>
      <c r="I250" s="40"/>
      <c r="J250" s="13"/>
    </row>
    <row r="251" spans="1:10" x14ac:dyDescent="0.45">
      <c r="A251" s="5" t="s">
        <v>418</v>
      </c>
      <c r="B251" s="21">
        <v>102137</v>
      </c>
      <c r="C251" s="3" t="s">
        <v>709</v>
      </c>
      <c r="D251" s="3"/>
      <c r="E251" s="3" t="s">
        <v>774</v>
      </c>
      <c r="F251" s="7" t="s">
        <v>419</v>
      </c>
      <c r="G251" s="4" t="s">
        <v>355</v>
      </c>
      <c r="H251" s="40">
        <f t="shared" si="8"/>
        <v>802</v>
      </c>
      <c r="I251" s="40"/>
      <c r="J251" s="13"/>
    </row>
    <row r="252" spans="1:10" x14ac:dyDescent="0.45">
      <c r="A252" s="5" t="s">
        <v>418</v>
      </c>
      <c r="B252" s="21">
        <v>102138</v>
      </c>
      <c r="C252" s="3" t="s">
        <v>709</v>
      </c>
      <c r="D252" s="3"/>
      <c r="E252" s="3" t="s">
        <v>774</v>
      </c>
      <c r="F252" s="7" t="s">
        <v>420</v>
      </c>
      <c r="G252" s="4" t="s">
        <v>421</v>
      </c>
      <c r="H252" s="40">
        <f t="shared" si="8"/>
        <v>802</v>
      </c>
      <c r="I252" s="40"/>
      <c r="J252" s="13"/>
    </row>
    <row r="253" spans="1:10" x14ac:dyDescent="0.45">
      <c r="A253" s="5" t="s">
        <v>418</v>
      </c>
      <c r="B253" s="21">
        <v>102140</v>
      </c>
      <c r="C253" s="3" t="s">
        <v>709</v>
      </c>
      <c r="D253" s="3"/>
      <c r="E253" s="3" t="s">
        <v>774</v>
      </c>
      <c r="F253" s="7" t="s">
        <v>420</v>
      </c>
      <c r="G253" s="4" t="s">
        <v>421</v>
      </c>
      <c r="H253" s="40">
        <f t="shared" si="8"/>
        <v>802</v>
      </c>
      <c r="I253" s="40"/>
      <c r="J253" s="13"/>
    </row>
    <row r="254" spans="1:10" x14ac:dyDescent="0.45">
      <c r="A254" s="5" t="s">
        <v>418</v>
      </c>
      <c r="B254" s="21">
        <v>102142</v>
      </c>
      <c r="C254" s="3" t="s">
        <v>709</v>
      </c>
      <c r="D254" s="3"/>
      <c r="E254" s="3" t="s">
        <v>774</v>
      </c>
      <c r="F254" s="7" t="s">
        <v>419</v>
      </c>
      <c r="G254" s="4" t="s">
        <v>355</v>
      </c>
      <c r="H254" s="40">
        <f t="shared" si="8"/>
        <v>802</v>
      </c>
      <c r="I254" s="40"/>
      <c r="J254" s="13"/>
    </row>
    <row r="255" spans="1:10" x14ac:dyDescent="0.45">
      <c r="A255" s="5" t="s">
        <v>418</v>
      </c>
      <c r="B255" s="21">
        <v>102144</v>
      </c>
      <c r="C255" s="3" t="s">
        <v>709</v>
      </c>
      <c r="D255" s="3"/>
      <c r="E255" s="3" t="s">
        <v>774</v>
      </c>
      <c r="F255" s="7" t="s">
        <v>261</v>
      </c>
      <c r="G255" s="4" t="s">
        <v>225</v>
      </c>
      <c r="H255" s="40">
        <f t="shared" si="8"/>
        <v>802</v>
      </c>
      <c r="I255" s="40"/>
      <c r="J255" s="13"/>
    </row>
    <row r="256" spans="1:10" x14ac:dyDescent="0.45">
      <c r="A256" s="5" t="s">
        <v>422</v>
      </c>
      <c r="B256" s="21">
        <v>102147</v>
      </c>
      <c r="C256" s="3" t="s">
        <v>709</v>
      </c>
      <c r="D256" s="3" t="s">
        <v>713</v>
      </c>
      <c r="E256" s="3"/>
      <c r="F256" s="7" t="s">
        <v>423</v>
      </c>
      <c r="G256" s="4" t="s">
        <v>424</v>
      </c>
      <c r="H256" s="40">
        <f t="shared" si="8"/>
        <v>802</v>
      </c>
      <c r="I256" s="40">
        <f>HYPERLINK("https://www.nite.go.jp/nbrc/catalogue/NBRCMediumDetailServlet?NO=000230",230)</f>
        <v>230</v>
      </c>
      <c r="J256" s="13"/>
    </row>
    <row r="257" spans="1:10" x14ac:dyDescent="0.45">
      <c r="A257" s="5" t="s">
        <v>425</v>
      </c>
      <c r="B257" s="21">
        <v>102152</v>
      </c>
      <c r="C257" s="3" t="s">
        <v>709</v>
      </c>
      <c r="D257" s="3" t="s">
        <v>713</v>
      </c>
      <c r="E257" s="3" t="s">
        <v>775</v>
      </c>
      <c r="F257" s="7" t="s">
        <v>157</v>
      </c>
      <c r="G257" s="4" t="s">
        <v>158</v>
      </c>
      <c r="H257" s="40">
        <f>HYPERLINK("https://www.nite.go.jp/nbrc/catalogue/NBRCMediumDetailServlet?NO=000347",347)</f>
        <v>347</v>
      </c>
      <c r="I257" s="40"/>
      <c r="J257" s="13"/>
    </row>
    <row r="258" spans="1:10" x14ac:dyDescent="0.45">
      <c r="A258" s="5" t="s">
        <v>426</v>
      </c>
      <c r="B258" s="21">
        <v>102154</v>
      </c>
      <c r="C258" s="3" t="s">
        <v>709</v>
      </c>
      <c r="D258" s="3" t="s">
        <v>713</v>
      </c>
      <c r="E258" s="3" t="s">
        <v>775</v>
      </c>
      <c r="F258" s="7" t="s">
        <v>427</v>
      </c>
      <c r="G258" s="4" t="s">
        <v>428</v>
      </c>
      <c r="H258" s="40">
        <f>HYPERLINK("https://www.nite.go.jp/nbrc/catalogue/NBRCMediumDetailServlet?NO=000347",347)</f>
        <v>347</v>
      </c>
      <c r="I258" s="40">
        <f>HYPERLINK("https://www.nite.go.jp/nbrc/catalogue/NBRCMediumDetailServlet?NO=000946",946)</f>
        <v>946</v>
      </c>
      <c r="J258" s="13"/>
    </row>
    <row r="259" spans="1:10" ht="30" x14ac:dyDescent="0.45">
      <c r="A259" s="5" t="s">
        <v>941</v>
      </c>
      <c r="B259" s="21">
        <v>102160</v>
      </c>
      <c r="C259" s="3" t="s">
        <v>709</v>
      </c>
      <c r="D259" s="3"/>
      <c r="E259" s="3"/>
      <c r="F259" s="7" t="s">
        <v>429</v>
      </c>
      <c r="G259" s="4" t="s">
        <v>187</v>
      </c>
      <c r="H259" s="40">
        <f>HYPERLINK("https://www.nite.go.jp/nbrc/catalogue/NBRCMediumDetailServlet?NO=000310",310)</f>
        <v>310</v>
      </c>
      <c r="I259" s="40">
        <f>HYPERLINK("https://www.nite.go.jp/nbrc/catalogue/NBRCMediumDetailServlet?NO=000312",312)</f>
        <v>312</v>
      </c>
      <c r="J259" s="13" t="s">
        <v>779</v>
      </c>
    </row>
    <row r="260" spans="1:10" x14ac:dyDescent="0.45">
      <c r="A260" s="5" t="s">
        <v>430</v>
      </c>
      <c r="B260" s="21">
        <v>102416</v>
      </c>
      <c r="C260" s="3" t="s">
        <v>709</v>
      </c>
      <c r="D260" s="3" t="s">
        <v>713</v>
      </c>
      <c r="E260" s="3" t="s">
        <v>775</v>
      </c>
      <c r="F260" s="7" t="s">
        <v>431</v>
      </c>
      <c r="G260" s="4" t="s">
        <v>432</v>
      </c>
      <c r="H260" s="40">
        <f t="shared" ref="H260:H266" si="9">HYPERLINK("https://www.nite.go.jp/nbrc/catalogue/NBRCMediumDetailServlet?NO=000802",802)</f>
        <v>802</v>
      </c>
      <c r="I260" s="40"/>
      <c r="J260" s="13"/>
    </row>
    <row r="261" spans="1:10" x14ac:dyDescent="0.45">
      <c r="A261" s="5" t="s">
        <v>433</v>
      </c>
      <c r="B261" s="21">
        <v>102419</v>
      </c>
      <c r="C261" s="3" t="s">
        <v>709</v>
      </c>
      <c r="D261" s="3" t="s">
        <v>713</v>
      </c>
      <c r="E261" s="3" t="s">
        <v>775</v>
      </c>
      <c r="F261" s="7" t="s">
        <v>434</v>
      </c>
      <c r="G261" s="4" t="s">
        <v>37</v>
      </c>
      <c r="H261" s="40">
        <f t="shared" si="9"/>
        <v>802</v>
      </c>
      <c r="I261" s="40"/>
      <c r="J261" s="13"/>
    </row>
    <row r="262" spans="1:10" x14ac:dyDescent="0.45">
      <c r="A262" s="5" t="s">
        <v>942</v>
      </c>
      <c r="B262" s="21">
        <v>102420</v>
      </c>
      <c r="C262" s="3" t="s">
        <v>709</v>
      </c>
      <c r="D262" s="3" t="s">
        <v>713</v>
      </c>
      <c r="E262" s="3" t="s">
        <v>775</v>
      </c>
      <c r="F262" s="7" t="s">
        <v>293</v>
      </c>
      <c r="G262" s="4" t="s">
        <v>201</v>
      </c>
      <c r="H262" s="40">
        <f t="shared" si="9"/>
        <v>802</v>
      </c>
      <c r="I262" s="40"/>
      <c r="J262" s="13"/>
    </row>
    <row r="263" spans="1:10" x14ac:dyDescent="0.45">
      <c r="A263" s="5" t="s">
        <v>722</v>
      </c>
      <c r="B263" s="21">
        <v>102446</v>
      </c>
      <c r="C263" s="3" t="s">
        <v>709</v>
      </c>
      <c r="D263" s="3" t="s">
        <v>713</v>
      </c>
      <c r="E263" s="3" t="s">
        <v>775</v>
      </c>
      <c r="F263" s="7" t="s">
        <v>72</v>
      </c>
      <c r="G263" s="4" t="s">
        <v>73</v>
      </c>
      <c r="H263" s="40">
        <f t="shared" si="9"/>
        <v>802</v>
      </c>
      <c r="I263" s="40"/>
      <c r="J263" s="13"/>
    </row>
    <row r="264" spans="1:10" x14ac:dyDescent="0.45">
      <c r="A264" s="5" t="s">
        <v>435</v>
      </c>
      <c r="B264" s="21">
        <v>102461</v>
      </c>
      <c r="C264" s="3" t="s">
        <v>709</v>
      </c>
      <c r="D264" s="3" t="s">
        <v>713</v>
      </c>
      <c r="E264" s="3" t="s">
        <v>775</v>
      </c>
      <c r="F264" s="7" t="s">
        <v>436</v>
      </c>
      <c r="G264" s="4" t="s">
        <v>437</v>
      </c>
      <c r="H264" s="40">
        <f t="shared" si="9"/>
        <v>802</v>
      </c>
      <c r="I264" s="40"/>
      <c r="J264" s="13"/>
    </row>
    <row r="265" spans="1:10" x14ac:dyDescent="0.45">
      <c r="A265" s="5" t="s">
        <v>438</v>
      </c>
      <c r="B265" s="21">
        <v>102466</v>
      </c>
      <c r="C265" s="3" t="s">
        <v>709</v>
      </c>
      <c r="D265" s="3" t="s">
        <v>713</v>
      </c>
      <c r="E265" s="3" t="s">
        <v>775</v>
      </c>
      <c r="F265" s="7" t="s">
        <v>156</v>
      </c>
      <c r="G265" s="4" t="s">
        <v>31</v>
      </c>
      <c r="H265" s="40">
        <f t="shared" si="9"/>
        <v>802</v>
      </c>
      <c r="I265" s="40"/>
      <c r="J265" s="13"/>
    </row>
    <row r="266" spans="1:10" x14ac:dyDescent="0.45">
      <c r="A266" s="5" t="s">
        <v>439</v>
      </c>
      <c r="B266" s="21">
        <v>102470</v>
      </c>
      <c r="C266" s="3" t="s">
        <v>709</v>
      </c>
      <c r="D266" s="3" t="s">
        <v>713</v>
      </c>
      <c r="E266" s="3" t="s">
        <v>775</v>
      </c>
      <c r="F266" s="7" t="s">
        <v>440</v>
      </c>
      <c r="G266" s="4" t="s">
        <v>441</v>
      </c>
      <c r="H266" s="40">
        <f t="shared" si="9"/>
        <v>802</v>
      </c>
      <c r="I266" s="40"/>
      <c r="J266" s="13"/>
    </row>
    <row r="267" spans="1:10" x14ac:dyDescent="0.45">
      <c r="A267" s="5" t="s">
        <v>442</v>
      </c>
      <c r="B267" s="21">
        <v>102482</v>
      </c>
      <c r="C267" s="3" t="s">
        <v>709</v>
      </c>
      <c r="D267" s="3" t="s">
        <v>713</v>
      </c>
      <c r="E267" s="3"/>
      <c r="F267" s="7" t="s">
        <v>443</v>
      </c>
      <c r="G267" s="4" t="s">
        <v>444</v>
      </c>
      <c r="H267" s="40">
        <f>HYPERLINK("https://www.nite.go.jp/nbrc/catalogue/NBRCMediumDetailServlet?NO=000340",340)</f>
        <v>340</v>
      </c>
      <c r="I267" s="40"/>
      <c r="J267" s="13"/>
    </row>
    <row r="268" spans="1:10" x14ac:dyDescent="0.45">
      <c r="A268" s="5" t="s">
        <v>445</v>
      </c>
      <c r="B268" s="21">
        <v>102503</v>
      </c>
      <c r="C268" s="3" t="s">
        <v>709</v>
      </c>
      <c r="D268" s="3" t="s">
        <v>713</v>
      </c>
      <c r="E268" s="3" t="s">
        <v>775</v>
      </c>
      <c r="F268" s="7" t="s">
        <v>446</v>
      </c>
      <c r="G268" s="4" t="s">
        <v>447</v>
      </c>
      <c r="H268" s="40">
        <f>HYPERLINK("https://www.nite.go.jp/nbrc/catalogue/NBRCMediumDetailServlet?NO=000802",802)</f>
        <v>802</v>
      </c>
      <c r="I268" s="40"/>
      <c r="J268" s="13"/>
    </row>
    <row r="269" spans="1:10" ht="30" x14ac:dyDescent="0.45">
      <c r="A269" s="5" t="s">
        <v>448</v>
      </c>
      <c r="B269" s="21">
        <v>102581</v>
      </c>
      <c r="C269" s="3" t="s">
        <v>709</v>
      </c>
      <c r="D269" s="3" t="s">
        <v>713</v>
      </c>
      <c r="E269" s="3"/>
      <c r="F269" s="7" t="s">
        <v>449</v>
      </c>
      <c r="G269" s="4" t="s">
        <v>450</v>
      </c>
      <c r="H269" s="40">
        <f>HYPERLINK("https://www.nite.go.jp/nbrc/catalogue/NBRCMediumDetailServlet?NO=000227",227)</f>
        <v>227</v>
      </c>
      <c r="I269" s="40"/>
      <c r="J269" s="13"/>
    </row>
    <row r="270" spans="1:10" x14ac:dyDescent="0.45">
      <c r="A270" s="5" t="s">
        <v>451</v>
      </c>
      <c r="B270" s="21">
        <v>102593</v>
      </c>
      <c r="C270" s="3" t="s">
        <v>709</v>
      </c>
      <c r="D270" s="3" t="s">
        <v>713</v>
      </c>
      <c r="E270" s="3" t="s">
        <v>774</v>
      </c>
      <c r="F270" s="7" t="s">
        <v>452</v>
      </c>
      <c r="G270" s="4" t="s">
        <v>453</v>
      </c>
      <c r="H270" s="40">
        <f>HYPERLINK("https://www.nite.go.jp/nbrc/catalogue/NBRCMediumDetailServlet?NO=000954",954)</f>
        <v>954</v>
      </c>
      <c r="I270" s="40">
        <f>HYPERLINK("https://www.nite.go.jp/nbrc/catalogue/NBRCMediumDetailServlet?NO=000802",802)</f>
        <v>802</v>
      </c>
      <c r="J270" s="13"/>
    </row>
    <row r="271" spans="1:10" x14ac:dyDescent="0.45">
      <c r="A271" s="5" t="s">
        <v>454</v>
      </c>
      <c r="B271" s="21">
        <v>102598</v>
      </c>
      <c r="C271" s="3" t="s">
        <v>709</v>
      </c>
      <c r="D271" s="3" t="s">
        <v>713</v>
      </c>
      <c r="E271" s="3"/>
      <c r="F271" s="7" t="s">
        <v>11</v>
      </c>
      <c r="G271" s="4" t="s">
        <v>12</v>
      </c>
      <c r="H271" s="40">
        <f>HYPERLINK("https://www.nite.go.jp/nbrc/catalogue/NBRCMediumDetailServlet?NO=000802",802)</f>
        <v>802</v>
      </c>
      <c r="I271" s="40"/>
      <c r="J271" s="13"/>
    </row>
    <row r="272" spans="1:10" x14ac:dyDescent="0.45">
      <c r="A272" s="5" t="s">
        <v>455</v>
      </c>
      <c r="B272" s="21">
        <v>103076</v>
      </c>
      <c r="C272" s="3" t="s">
        <v>709</v>
      </c>
      <c r="D272" s="3" t="s">
        <v>713</v>
      </c>
      <c r="E272" s="3"/>
      <c r="F272" s="7" t="s">
        <v>456</v>
      </c>
      <c r="G272" s="4" t="s">
        <v>457</v>
      </c>
      <c r="H272" s="40">
        <f>HYPERLINK("https://www.nite.go.jp/nbrc/catalogue/NBRCMediumDetailServlet?NO=000802",802)</f>
        <v>802</v>
      </c>
      <c r="I272" s="40"/>
      <c r="J272" s="13"/>
    </row>
    <row r="273" spans="1:10" x14ac:dyDescent="0.45">
      <c r="A273" s="5" t="s">
        <v>458</v>
      </c>
      <c r="B273" s="21">
        <v>103078</v>
      </c>
      <c r="C273" s="3" t="s">
        <v>709</v>
      </c>
      <c r="D273" s="3" t="s">
        <v>713</v>
      </c>
      <c r="E273" s="3" t="s">
        <v>775</v>
      </c>
      <c r="F273" s="7" t="s">
        <v>459</v>
      </c>
      <c r="G273" s="4" t="s">
        <v>460</v>
      </c>
      <c r="H273" s="40">
        <f>HYPERLINK("https://www.nite.go.jp/nbrc/catalogue/NBRCMediumDetailServlet?NO=000802",802)</f>
        <v>802</v>
      </c>
      <c r="I273" s="40"/>
      <c r="J273" s="13"/>
    </row>
    <row r="274" spans="1:10" x14ac:dyDescent="0.45">
      <c r="A274" s="5" t="s">
        <v>461</v>
      </c>
      <c r="B274" s="21">
        <v>103146</v>
      </c>
      <c r="C274" s="3" t="s">
        <v>709</v>
      </c>
      <c r="D274" s="3" t="s">
        <v>713</v>
      </c>
      <c r="E274" s="3" t="s">
        <v>775</v>
      </c>
      <c r="F274" s="7" t="s">
        <v>293</v>
      </c>
      <c r="G274" s="4" t="s">
        <v>201</v>
      </c>
      <c r="H274" s="40">
        <f>HYPERLINK("https://www.nite.go.jp/nbrc/catalogue/NBRCMediumDetailServlet?NO=000802",802)</f>
        <v>802</v>
      </c>
      <c r="I274" s="40"/>
      <c r="J274" s="13"/>
    </row>
    <row r="275" spans="1:10" x14ac:dyDescent="0.45">
      <c r="A275" s="5" t="s">
        <v>462</v>
      </c>
      <c r="B275" s="21">
        <v>103150</v>
      </c>
      <c r="C275" s="3" t="s">
        <v>709</v>
      </c>
      <c r="D275" s="3" t="s">
        <v>713</v>
      </c>
      <c r="E275" s="3" t="s">
        <v>774</v>
      </c>
      <c r="F275" s="7" t="s">
        <v>223</v>
      </c>
      <c r="G275" s="4" t="s">
        <v>37</v>
      </c>
      <c r="H275" s="40">
        <f>HYPERLINK("https://www.nite.go.jp/nbrc/catalogue/NBRCMediumDetailServlet?NO=000340",340)</f>
        <v>340</v>
      </c>
      <c r="I275" s="40"/>
      <c r="J275" s="13"/>
    </row>
    <row r="276" spans="1:10" x14ac:dyDescent="0.45">
      <c r="A276" s="5" t="s">
        <v>463</v>
      </c>
      <c r="B276" s="21">
        <v>103158</v>
      </c>
      <c r="C276" s="3" t="s">
        <v>709</v>
      </c>
      <c r="D276" s="3" t="s">
        <v>713</v>
      </c>
      <c r="E276" s="3"/>
      <c r="F276" s="7" t="s">
        <v>464</v>
      </c>
      <c r="G276" s="4" t="s">
        <v>465</v>
      </c>
      <c r="H276" s="40">
        <f>HYPERLINK("https://www.nite.go.jp/nbrc/catalogue/NBRCMediumDetailServlet?NO=000802",802)</f>
        <v>802</v>
      </c>
      <c r="I276" s="40"/>
      <c r="J276" s="13"/>
    </row>
    <row r="277" spans="1:10" x14ac:dyDescent="0.45">
      <c r="A277" s="5" t="s">
        <v>466</v>
      </c>
      <c r="B277" s="21">
        <v>103892</v>
      </c>
      <c r="C277" s="3" t="s">
        <v>711</v>
      </c>
      <c r="D277" s="3" t="s">
        <v>713</v>
      </c>
      <c r="E277" s="3"/>
      <c r="F277" s="7" t="s">
        <v>66</v>
      </c>
      <c r="G277" s="4" t="s">
        <v>37</v>
      </c>
      <c r="H277" s="40">
        <f>HYPERLINK("https://www.nite.go.jp/nbrc/catalogue/NBRCMediumDetailServlet?NO=000856",856)</f>
        <v>856</v>
      </c>
      <c r="I277" s="40">
        <f>HYPERLINK("https://www.nite.go.jp/nbrc/catalogue/NBRCMediumDetailServlet?NO=000108",108)</f>
        <v>108</v>
      </c>
      <c r="J277" s="13"/>
    </row>
    <row r="278" spans="1:10" x14ac:dyDescent="0.45">
      <c r="A278" s="5" t="s">
        <v>467</v>
      </c>
      <c r="B278" s="21">
        <v>103900</v>
      </c>
      <c r="C278" s="3" t="s">
        <v>711</v>
      </c>
      <c r="D278" s="3" t="s">
        <v>713</v>
      </c>
      <c r="E278" s="3"/>
      <c r="F278" s="7" t="s">
        <v>468</v>
      </c>
      <c r="G278" s="4" t="s">
        <v>469</v>
      </c>
      <c r="H278" s="40">
        <f>HYPERLINK("https://www.nite.go.jp/nbrc/catalogue/NBRCMediumDetailServlet?NO=000856",856)</f>
        <v>856</v>
      </c>
      <c r="I278" s="40">
        <f>HYPERLINK("https://www.nite.go.jp/nbrc/catalogue/NBRCMediumDetailServlet?NO=000108",108)</f>
        <v>108</v>
      </c>
      <c r="J278" s="13"/>
    </row>
    <row r="279" spans="1:10" x14ac:dyDescent="0.45">
      <c r="A279" s="5" t="s">
        <v>470</v>
      </c>
      <c r="B279" s="21">
        <v>103906</v>
      </c>
      <c r="C279" s="3" t="s">
        <v>711</v>
      </c>
      <c r="D279" s="3"/>
      <c r="E279" s="3"/>
      <c r="F279" s="7" t="s">
        <v>224</v>
      </c>
      <c r="G279" s="4" t="s">
        <v>225</v>
      </c>
      <c r="H279" s="40">
        <f>HYPERLINK("https://www.nite.go.jp/nbrc/catalogue/NBRCMediumDetailServlet?NO=000856",856)</f>
        <v>856</v>
      </c>
      <c r="I279" s="40">
        <f>HYPERLINK("https://www.nite.go.jp/nbrc/catalogue/NBRCMediumDetailServlet?NO=000108",108)</f>
        <v>108</v>
      </c>
      <c r="J279" s="13"/>
    </row>
    <row r="280" spans="1:10" x14ac:dyDescent="0.45">
      <c r="A280" s="5" t="s">
        <v>471</v>
      </c>
      <c r="B280" s="21">
        <v>103918</v>
      </c>
      <c r="C280" s="3" t="s">
        <v>711</v>
      </c>
      <c r="D280" s="3" t="s">
        <v>713</v>
      </c>
      <c r="E280" s="3"/>
      <c r="F280" s="7" t="s">
        <v>472</v>
      </c>
      <c r="G280" s="4" t="s">
        <v>80</v>
      </c>
      <c r="H280" s="40">
        <f>HYPERLINK("https://www.nite.go.jp/nbrc/catalogue/NBRCMediumDetailServlet?NO=001390",1390)</f>
        <v>1390</v>
      </c>
      <c r="I280" s="40">
        <f>HYPERLINK("https://www.nite.go.jp/nbrc/catalogue/NBRCMediumDetailServlet?NO=001004",1004)</f>
        <v>1004</v>
      </c>
      <c r="J280" s="13"/>
    </row>
    <row r="281" spans="1:10" x14ac:dyDescent="0.45">
      <c r="A281" s="5" t="s">
        <v>473</v>
      </c>
      <c r="B281" s="21">
        <v>104118</v>
      </c>
      <c r="C281" s="3" t="s">
        <v>709</v>
      </c>
      <c r="D281" s="3" t="s">
        <v>713</v>
      </c>
      <c r="E281" s="3"/>
      <c r="F281" s="7" t="s">
        <v>474</v>
      </c>
      <c r="G281" s="4" t="s">
        <v>475</v>
      </c>
      <c r="H281" s="40">
        <f>HYPERLINK("https://www.nite.go.jp/nbrc/catalogue/NBRCMediumDetailServlet?NO=000802",802)</f>
        <v>802</v>
      </c>
      <c r="I281" s="40"/>
      <c r="J281" s="13"/>
    </row>
    <row r="282" spans="1:10" ht="30" x14ac:dyDescent="0.45">
      <c r="A282" s="5" t="s">
        <v>476</v>
      </c>
      <c r="B282" s="21">
        <v>105045</v>
      </c>
      <c r="C282" s="3" t="s">
        <v>709</v>
      </c>
      <c r="D282" s="3" t="s">
        <v>713</v>
      </c>
      <c r="E282" s="3"/>
      <c r="F282" s="7" t="s">
        <v>477</v>
      </c>
      <c r="G282" s="4" t="s">
        <v>478</v>
      </c>
      <c r="H282" s="40">
        <f>HYPERLINK("https://www.nite.go.jp/nbrc/catalogue/NBRCMediumDetailServlet?NO=000227",227)</f>
        <v>227</v>
      </c>
      <c r="I282" s="40"/>
      <c r="J282" s="13"/>
    </row>
    <row r="283" spans="1:10" x14ac:dyDescent="0.45">
      <c r="A283" s="5" t="s">
        <v>479</v>
      </c>
      <c r="B283" s="21">
        <v>105418</v>
      </c>
      <c r="C283" s="3" t="s">
        <v>710</v>
      </c>
      <c r="D283" s="3"/>
      <c r="E283" s="3" t="s">
        <v>774</v>
      </c>
      <c r="F283" s="7" t="s">
        <v>480</v>
      </c>
      <c r="G283" s="4" t="s">
        <v>481</v>
      </c>
      <c r="H283" s="40">
        <f>HYPERLINK("https://www.nite.go.jp/nbrc/catalogue/NBRCMediumDetailServlet?NO=000005",5)</f>
        <v>5</v>
      </c>
      <c r="I283" s="40"/>
      <c r="J283" s="13"/>
    </row>
    <row r="284" spans="1:10" x14ac:dyDescent="0.45">
      <c r="A284" s="5" t="s">
        <v>479</v>
      </c>
      <c r="B284" s="21">
        <v>105655</v>
      </c>
      <c r="C284" s="3" t="s">
        <v>710</v>
      </c>
      <c r="D284" s="3"/>
      <c r="E284" s="3" t="s">
        <v>774</v>
      </c>
      <c r="F284" s="7" t="s">
        <v>480</v>
      </c>
      <c r="G284" s="4" t="s">
        <v>481</v>
      </c>
      <c r="H284" s="40">
        <f>HYPERLINK("https://www.nite.go.jp/nbrc/catalogue/NBRCMediumDetailServlet?NO=000001",1)</f>
        <v>1</v>
      </c>
      <c r="I284" s="40"/>
      <c r="J284" s="13"/>
    </row>
    <row r="285" spans="1:10" ht="30" x14ac:dyDescent="0.45">
      <c r="A285" s="5" t="s">
        <v>723</v>
      </c>
      <c r="B285" s="21">
        <v>105682</v>
      </c>
      <c r="C285" s="3" t="s">
        <v>709</v>
      </c>
      <c r="D285" s="3" t="s">
        <v>713</v>
      </c>
      <c r="E285" s="3" t="s">
        <v>774</v>
      </c>
      <c r="F285" s="7" t="s">
        <v>482</v>
      </c>
      <c r="G285" s="4" t="s">
        <v>483</v>
      </c>
      <c r="H285" s="40">
        <f t="shared" ref="H285:H304" si="10">HYPERLINK("https://www.nite.go.jp/nbrc/catalogue/NBRCMediumDetailServlet?NO=000954",954)</f>
        <v>954</v>
      </c>
      <c r="I285" s="40">
        <f t="shared" ref="I285:I304" si="11">HYPERLINK("https://www.nite.go.jp/nbrc/catalogue/NBRCMediumDetailServlet?NO=000802",802)</f>
        <v>802</v>
      </c>
      <c r="J285" s="13" t="s">
        <v>779</v>
      </c>
    </row>
    <row r="286" spans="1:10" ht="30" x14ac:dyDescent="0.45">
      <c r="A286" s="5" t="s">
        <v>724</v>
      </c>
      <c r="B286" s="21">
        <v>105683</v>
      </c>
      <c r="C286" s="3" t="s">
        <v>709</v>
      </c>
      <c r="D286" s="3" t="s">
        <v>713</v>
      </c>
      <c r="E286" s="3" t="s">
        <v>774</v>
      </c>
      <c r="F286" s="7" t="s">
        <v>484</v>
      </c>
      <c r="G286" s="4" t="s">
        <v>485</v>
      </c>
      <c r="H286" s="40">
        <f t="shared" si="10"/>
        <v>954</v>
      </c>
      <c r="I286" s="40">
        <f t="shared" si="11"/>
        <v>802</v>
      </c>
      <c r="J286" s="13" t="s">
        <v>779</v>
      </c>
    </row>
    <row r="287" spans="1:10" ht="30" x14ac:dyDescent="0.45">
      <c r="A287" s="5" t="s">
        <v>486</v>
      </c>
      <c r="B287" s="21">
        <v>105687</v>
      </c>
      <c r="C287" s="3" t="s">
        <v>709</v>
      </c>
      <c r="D287" s="3" t="s">
        <v>713</v>
      </c>
      <c r="E287" s="3" t="s">
        <v>775</v>
      </c>
      <c r="F287" s="7" t="s">
        <v>487</v>
      </c>
      <c r="G287" s="4" t="s">
        <v>16</v>
      </c>
      <c r="H287" s="40">
        <f t="shared" si="10"/>
        <v>954</v>
      </c>
      <c r="I287" s="40">
        <f t="shared" si="11"/>
        <v>802</v>
      </c>
      <c r="J287" s="13" t="s">
        <v>779</v>
      </c>
    </row>
    <row r="288" spans="1:10" ht="30" x14ac:dyDescent="0.45">
      <c r="A288" s="5" t="s">
        <v>488</v>
      </c>
      <c r="B288" s="21">
        <v>105688</v>
      </c>
      <c r="C288" s="3" t="s">
        <v>709</v>
      </c>
      <c r="D288" s="3" t="s">
        <v>713</v>
      </c>
      <c r="E288" s="3" t="s">
        <v>775</v>
      </c>
      <c r="F288" s="7" t="s">
        <v>223</v>
      </c>
      <c r="G288" s="4" t="s">
        <v>37</v>
      </c>
      <c r="H288" s="40">
        <f t="shared" si="10"/>
        <v>954</v>
      </c>
      <c r="I288" s="40">
        <f t="shared" si="11"/>
        <v>802</v>
      </c>
      <c r="J288" s="13" t="s">
        <v>779</v>
      </c>
    </row>
    <row r="289" spans="1:10" ht="30" x14ac:dyDescent="0.45">
      <c r="A289" s="5" t="s">
        <v>718</v>
      </c>
      <c r="B289" s="21">
        <v>105691</v>
      </c>
      <c r="C289" s="3" t="s">
        <v>709</v>
      </c>
      <c r="D289" s="3" t="s">
        <v>713</v>
      </c>
      <c r="E289" s="3" t="s">
        <v>775</v>
      </c>
      <c r="F289" s="7" t="s">
        <v>124</v>
      </c>
      <c r="G289" s="4" t="s">
        <v>125</v>
      </c>
      <c r="H289" s="40">
        <f t="shared" si="10"/>
        <v>954</v>
      </c>
      <c r="I289" s="40">
        <f t="shared" si="11"/>
        <v>802</v>
      </c>
      <c r="J289" s="13" t="s">
        <v>779</v>
      </c>
    </row>
    <row r="290" spans="1:10" ht="30" x14ac:dyDescent="0.45">
      <c r="A290" s="5" t="s">
        <v>725</v>
      </c>
      <c r="B290" s="21">
        <v>105693</v>
      </c>
      <c r="C290" s="3" t="s">
        <v>709</v>
      </c>
      <c r="D290" s="3" t="s">
        <v>713</v>
      </c>
      <c r="E290" s="3" t="s">
        <v>774</v>
      </c>
      <c r="F290" s="7" t="s">
        <v>752</v>
      </c>
      <c r="G290" s="4" t="s">
        <v>753</v>
      </c>
      <c r="H290" s="40">
        <f t="shared" si="10"/>
        <v>954</v>
      </c>
      <c r="I290" s="40">
        <f t="shared" si="11"/>
        <v>802</v>
      </c>
      <c r="J290" s="13" t="s">
        <v>779</v>
      </c>
    </row>
    <row r="291" spans="1:10" ht="30" x14ac:dyDescent="0.45">
      <c r="A291" s="5" t="s">
        <v>451</v>
      </c>
      <c r="B291" s="21">
        <v>105695</v>
      </c>
      <c r="C291" s="3" t="s">
        <v>709</v>
      </c>
      <c r="D291" s="3" t="s">
        <v>713</v>
      </c>
      <c r="E291" s="3" t="s">
        <v>774</v>
      </c>
      <c r="F291" s="7" t="s">
        <v>452</v>
      </c>
      <c r="G291" s="4" t="s">
        <v>453</v>
      </c>
      <c r="H291" s="40">
        <f t="shared" si="10"/>
        <v>954</v>
      </c>
      <c r="I291" s="40">
        <f t="shared" si="11"/>
        <v>802</v>
      </c>
      <c r="J291" s="13" t="s">
        <v>779</v>
      </c>
    </row>
    <row r="292" spans="1:10" ht="30" x14ac:dyDescent="0.45">
      <c r="A292" s="5" t="s">
        <v>430</v>
      </c>
      <c r="B292" s="21">
        <v>105698</v>
      </c>
      <c r="C292" s="3" t="s">
        <v>709</v>
      </c>
      <c r="D292" s="3" t="s">
        <v>713</v>
      </c>
      <c r="E292" s="3" t="s">
        <v>775</v>
      </c>
      <c r="F292" s="7" t="s">
        <v>431</v>
      </c>
      <c r="G292" s="4" t="s">
        <v>432</v>
      </c>
      <c r="H292" s="40">
        <f t="shared" si="10"/>
        <v>954</v>
      </c>
      <c r="I292" s="40">
        <f t="shared" si="11"/>
        <v>802</v>
      </c>
      <c r="J292" s="13" t="s">
        <v>779</v>
      </c>
    </row>
    <row r="293" spans="1:10" ht="30" x14ac:dyDescent="0.45">
      <c r="A293" s="5" t="s">
        <v>489</v>
      </c>
      <c r="B293" s="21">
        <v>105702</v>
      </c>
      <c r="C293" s="3" t="s">
        <v>709</v>
      </c>
      <c r="D293" s="3" t="s">
        <v>713</v>
      </c>
      <c r="E293" s="3" t="s">
        <v>775</v>
      </c>
      <c r="F293" s="7" t="s">
        <v>223</v>
      </c>
      <c r="G293" s="4" t="s">
        <v>37</v>
      </c>
      <c r="H293" s="40">
        <f t="shared" si="10"/>
        <v>954</v>
      </c>
      <c r="I293" s="40">
        <f t="shared" si="11"/>
        <v>802</v>
      </c>
      <c r="J293" s="13" t="s">
        <v>779</v>
      </c>
    </row>
    <row r="294" spans="1:10" ht="30" x14ac:dyDescent="0.45">
      <c r="A294" s="5" t="s">
        <v>490</v>
      </c>
      <c r="B294" s="21">
        <v>105704</v>
      </c>
      <c r="C294" s="3" t="s">
        <v>709</v>
      </c>
      <c r="D294" s="3" t="s">
        <v>713</v>
      </c>
      <c r="E294" s="3" t="s">
        <v>775</v>
      </c>
      <c r="F294" s="7" t="s">
        <v>491</v>
      </c>
      <c r="G294" s="4" t="s">
        <v>492</v>
      </c>
      <c r="H294" s="40">
        <f t="shared" si="10"/>
        <v>954</v>
      </c>
      <c r="I294" s="40">
        <f t="shared" si="11"/>
        <v>802</v>
      </c>
      <c r="J294" s="13" t="s">
        <v>779</v>
      </c>
    </row>
    <row r="295" spans="1:10" ht="30" x14ac:dyDescent="0.45">
      <c r="A295" s="5" t="s">
        <v>493</v>
      </c>
      <c r="B295" s="21">
        <v>105705</v>
      </c>
      <c r="C295" s="3" t="s">
        <v>709</v>
      </c>
      <c r="D295" s="3" t="s">
        <v>713</v>
      </c>
      <c r="E295" s="3" t="s">
        <v>774</v>
      </c>
      <c r="F295" s="7" t="s">
        <v>72</v>
      </c>
      <c r="G295" s="4" t="s">
        <v>73</v>
      </c>
      <c r="H295" s="40">
        <f t="shared" si="10"/>
        <v>954</v>
      </c>
      <c r="I295" s="40">
        <f t="shared" si="11"/>
        <v>802</v>
      </c>
      <c r="J295" s="13" t="s">
        <v>779</v>
      </c>
    </row>
    <row r="296" spans="1:10" ht="30" x14ac:dyDescent="0.45">
      <c r="A296" s="5" t="s">
        <v>494</v>
      </c>
      <c r="B296" s="21">
        <v>105706</v>
      </c>
      <c r="C296" s="3" t="s">
        <v>709</v>
      </c>
      <c r="D296" s="3" t="s">
        <v>713</v>
      </c>
      <c r="E296" s="3" t="s">
        <v>775</v>
      </c>
      <c r="F296" s="7" t="s">
        <v>72</v>
      </c>
      <c r="G296" s="4" t="s">
        <v>73</v>
      </c>
      <c r="H296" s="40">
        <f t="shared" si="10"/>
        <v>954</v>
      </c>
      <c r="I296" s="40">
        <f t="shared" si="11"/>
        <v>802</v>
      </c>
      <c r="J296" s="13" t="s">
        <v>779</v>
      </c>
    </row>
    <row r="297" spans="1:10" ht="30" x14ac:dyDescent="0.45">
      <c r="A297" s="5" t="s">
        <v>495</v>
      </c>
      <c r="B297" s="21">
        <v>105707</v>
      </c>
      <c r="C297" s="3" t="s">
        <v>709</v>
      </c>
      <c r="D297" s="3" t="s">
        <v>713</v>
      </c>
      <c r="E297" s="3" t="s">
        <v>775</v>
      </c>
      <c r="F297" s="7" t="s">
        <v>496</v>
      </c>
      <c r="G297" s="4" t="s">
        <v>497</v>
      </c>
      <c r="H297" s="40">
        <f t="shared" si="10"/>
        <v>954</v>
      </c>
      <c r="I297" s="40">
        <f t="shared" si="11"/>
        <v>802</v>
      </c>
      <c r="J297" s="13" t="s">
        <v>779</v>
      </c>
    </row>
    <row r="298" spans="1:10" ht="30" x14ac:dyDescent="0.45">
      <c r="A298" s="5" t="s">
        <v>498</v>
      </c>
      <c r="B298" s="21">
        <v>105713</v>
      </c>
      <c r="C298" s="3" t="s">
        <v>709</v>
      </c>
      <c r="D298" s="3"/>
      <c r="E298" s="3" t="s">
        <v>775</v>
      </c>
      <c r="F298" s="7" t="s">
        <v>499</v>
      </c>
      <c r="G298" s="4" t="s">
        <v>500</v>
      </c>
      <c r="H298" s="40">
        <f t="shared" si="10"/>
        <v>954</v>
      </c>
      <c r="I298" s="40">
        <f t="shared" si="11"/>
        <v>802</v>
      </c>
      <c r="J298" s="13" t="s">
        <v>779</v>
      </c>
    </row>
    <row r="299" spans="1:10" ht="30" x14ac:dyDescent="0.45">
      <c r="A299" s="5" t="s">
        <v>501</v>
      </c>
      <c r="B299" s="21">
        <v>105717</v>
      </c>
      <c r="C299" s="3" t="s">
        <v>709</v>
      </c>
      <c r="D299" s="3" t="s">
        <v>713</v>
      </c>
      <c r="E299" s="3"/>
      <c r="F299" s="7" t="s">
        <v>223</v>
      </c>
      <c r="G299" s="4" t="s">
        <v>37</v>
      </c>
      <c r="H299" s="40">
        <f t="shared" si="10"/>
        <v>954</v>
      </c>
      <c r="I299" s="40">
        <f t="shared" si="11"/>
        <v>802</v>
      </c>
      <c r="J299" s="13" t="s">
        <v>779</v>
      </c>
    </row>
    <row r="300" spans="1:10" ht="30" x14ac:dyDescent="0.45">
      <c r="A300" s="5" t="s">
        <v>502</v>
      </c>
      <c r="B300" s="21">
        <v>105718</v>
      </c>
      <c r="C300" s="3" t="s">
        <v>709</v>
      </c>
      <c r="D300" s="3" t="s">
        <v>713</v>
      </c>
      <c r="E300" s="3" t="s">
        <v>775</v>
      </c>
      <c r="F300" s="7" t="s">
        <v>11</v>
      </c>
      <c r="G300" s="4" t="s">
        <v>12</v>
      </c>
      <c r="H300" s="40">
        <f t="shared" si="10"/>
        <v>954</v>
      </c>
      <c r="I300" s="40">
        <f t="shared" si="11"/>
        <v>802</v>
      </c>
      <c r="J300" s="13" t="s">
        <v>779</v>
      </c>
    </row>
    <row r="301" spans="1:10" ht="30" x14ac:dyDescent="0.45">
      <c r="A301" s="5" t="s">
        <v>503</v>
      </c>
      <c r="B301" s="21">
        <v>105721</v>
      </c>
      <c r="C301" s="3" t="s">
        <v>709</v>
      </c>
      <c r="D301" s="3" t="s">
        <v>713</v>
      </c>
      <c r="E301" s="3" t="s">
        <v>775</v>
      </c>
      <c r="F301" s="7" t="s">
        <v>157</v>
      </c>
      <c r="G301" s="4" t="s">
        <v>158</v>
      </c>
      <c r="H301" s="40">
        <f t="shared" si="10"/>
        <v>954</v>
      </c>
      <c r="I301" s="40">
        <f t="shared" si="11"/>
        <v>802</v>
      </c>
      <c r="J301" s="13" t="s">
        <v>779</v>
      </c>
    </row>
    <row r="302" spans="1:10" ht="30" x14ac:dyDescent="0.45">
      <c r="A302" s="5" t="s">
        <v>504</v>
      </c>
      <c r="B302" s="21">
        <v>105722</v>
      </c>
      <c r="C302" s="3" t="s">
        <v>709</v>
      </c>
      <c r="D302" s="3" t="s">
        <v>713</v>
      </c>
      <c r="E302" s="3" t="s">
        <v>775</v>
      </c>
      <c r="F302" s="7" t="s">
        <v>223</v>
      </c>
      <c r="G302" s="4" t="s">
        <v>914</v>
      </c>
      <c r="H302" s="40">
        <f t="shared" si="10"/>
        <v>954</v>
      </c>
      <c r="I302" s="40">
        <f t="shared" si="11"/>
        <v>802</v>
      </c>
      <c r="J302" s="13" t="s">
        <v>779</v>
      </c>
    </row>
    <row r="303" spans="1:10" ht="30" x14ac:dyDescent="0.45">
      <c r="A303" s="5" t="s">
        <v>726</v>
      </c>
      <c r="B303" s="21">
        <v>105726</v>
      </c>
      <c r="C303" s="3" t="s">
        <v>709</v>
      </c>
      <c r="D303" s="3"/>
      <c r="E303" s="3" t="s">
        <v>774</v>
      </c>
      <c r="F303" s="7" t="s">
        <v>505</v>
      </c>
      <c r="G303" s="4" t="s">
        <v>506</v>
      </c>
      <c r="H303" s="40">
        <f t="shared" si="10"/>
        <v>954</v>
      </c>
      <c r="I303" s="40">
        <f t="shared" si="11"/>
        <v>802</v>
      </c>
      <c r="J303" s="13" t="s">
        <v>779</v>
      </c>
    </row>
    <row r="304" spans="1:10" ht="30" x14ac:dyDescent="0.45">
      <c r="A304" s="5" t="s">
        <v>507</v>
      </c>
      <c r="B304" s="21">
        <v>105727</v>
      </c>
      <c r="C304" s="3" t="s">
        <v>709</v>
      </c>
      <c r="D304" s="3" t="s">
        <v>713</v>
      </c>
      <c r="E304" s="3" t="s">
        <v>775</v>
      </c>
      <c r="F304" s="7" t="s">
        <v>72</v>
      </c>
      <c r="G304" s="4" t="s">
        <v>73</v>
      </c>
      <c r="H304" s="40">
        <f t="shared" si="10"/>
        <v>954</v>
      </c>
      <c r="I304" s="40">
        <f t="shared" si="11"/>
        <v>802</v>
      </c>
      <c r="J304" s="13" t="s">
        <v>779</v>
      </c>
    </row>
    <row r="305" spans="1:10" x14ac:dyDescent="0.45">
      <c r="A305" s="5" t="s">
        <v>196</v>
      </c>
      <c r="B305" s="21">
        <v>106052</v>
      </c>
      <c r="C305" s="3" t="s">
        <v>709</v>
      </c>
      <c r="D305" s="3"/>
      <c r="E305" s="3" t="s">
        <v>774</v>
      </c>
      <c r="F305" s="7" t="s">
        <v>293</v>
      </c>
      <c r="G305" s="4" t="s">
        <v>201</v>
      </c>
      <c r="H305" s="40">
        <f>HYPERLINK("https://www.nite.go.jp/nbrc/catalogue/NBRCMediumDetailServlet?NO=000802",802)</f>
        <v>802</v>
      </c>
      <c r="I305" s="40">
        <f>HYPERLINK("https://www.nite.go.jp/nbrc/catalogue/NBRCMediumDetailServlet?NO=000872",872)</f>
        <v>872</v>
      </c>
      <c r="J305" s="13"/>
    </row>
    <row r="306" spans="1:10" ht="30" x14ac:dyDescent="0.45">
      <c r="A306" s="5" t="s">
        <v>508</v>
      </c>
      <c r="B306" s="21">
        <v>106071</v>
      </c>
      <c r="C306" s="3" t="s">
        <v>709</v>
      </c>
      <c r="D306" s="3" t="s">
        <v>713</v>
      </c>
      <c r="E306" s="3" t="s">
        <v>775</v>
      </c>
      <c r="F306" s="7" t="s">
        <v>509</v>
      </c>
      <c r="G306" s="4" t="s">
        <v>510</v>
      </c>
      <c r="H306" s="40">
        <f>HYPERLINK("https://www.nite.go.jp/nbrc/catalogue/NBRCMediumDetailServlet?NO=000814",814)</f>
        <v>814</v>
      </c>
      <c r="I306" s="40"/>
      <c r="J306" s="13" t="s">
        <v>779</v>
      </c>
    </row>
    <row r="307" spans="1:10" x14ac:dyDescent="0.45">
      <c r="A307" s="5" t="s">
        <v>511</v>
      </c>
      <c r="B307" s="21">
        <v>106085</v>
      </c>
      <c r="C307" s="3" t="s">
        <v>710</v>
      </c>
      <c r="D307" s="3"/>
      <c r="E307" s="3" t="s">
        <v>774</v>
      </c>
      <c r="F307" s="7" t="s">
        <v>512</v>
      </c>
      <c r="G307" s="4" t="s">
        <v>513</v>
      </c>
      <c r="H307" s="40">
        <f>HYPERLINK("https://www.nite.go.jp/nbrc/catalogue/NBRCMediumDetailServlet?NO=000001",1)</f>
        <v>1</v>
      </c>
      <c r="I307" s="40"/>
      <c r="J307" s="13"/>
    </row>
    <row r="308" spans="1:10" ht="30" x14ac:dyDescent="0.45">
      <c r="A308" s="5" t="s">
        <v>514</v>
      </c>
      <c r="B308" s="21">
        <v>106105</v>
      </c>
      <c r="C308" s="3" t="s">
        <v>709</v>
      </c>
      <c r="D308" s="3" t="s">
        <v>713</v>
      </c>
      <c r="E308" s="3"/>
      <c r="F308" s="7" t="s">
        <v>515</v>
      </c>
      <c r="G308" s="4" t="s">
        <v>516</v>
      </c>
      <c r="H308" s="40">
        <f>HYPERLINK("https://www.nite.go.jp/nbrc/catalogue/NBRCMediumDetailServlet?NO=000814",814)</f>
        <v>814</v>
      </c>
      <c r="I308" s="40">
        <f>HYPERLINK("https://www.nite.go.jp/nbrc/catalogue/NBRCMediumDetailServlet?NO=000347",347)</f>
        <v>347</v>
      </c>
      <c r="J308" s="13" t="s">
        <v>779</v>
      </c>
    </row>
    <row r="309" spans="1:10" x14ac:dyDescent="0.45">
      <c r="A309" s="5" t="s">
        <v>517</v>
      </c>
      <c r="B309" s="21">
        <v>106107</v>
      </c>
      <c r="C309" s="3" t="s">
        <v>709</v>
      </c>
      <c r="D309" s="3" t="s">
        <v>713</v>
      </c>
      <c r="E309" s="3"/>
      <c r="F309" s="7" t="s">
        <v>11</v>
      </c>
      <c r="G309" s="4" t="s">
        <v>12</v>
      </c>
      <c r="H309" s="40">
        <f>HYPERLINK("https://www.nite.go.jp/nbrc/catalogue/NBRCMediumDetailServlet?NO=000227",227)</f>
        <v>227</v>
      </c>
      <c r="I309" s="40"/>
      <c r="J309" s="13"/>
    </row>
    <row r="310" spans="1:10" x14ac:dyDescent="0.45">
      <c r="A310" s="5" t="s">
        <v>518</v>
      </c>
      <c r="B310" s="21">
        <v>106139</v>
      </c>
      <c r="C310" s="3" t="s">
        <v>709</v>
      </c>
      <c r="D310" s="3" t="s">
        <v>713</v>
      </c>
      <c r="E310" s="3" t="s">
        <v>775</v>
      </c>
      <c r="F310" s="7" t="s">
        <v>519</v>
      </c>
      <c r="G310" s="4" t="s">
        <v>520</v>
      </c>
      <c r="H310" s="40">
        <f>HYPERLINK("https://www.nite.go.jp/nbrc/catalogue/NBRCMediumDetailServlet?NO=000347",347)</f>
        <v>347</v>
      </c>
      <c r="I310" s="40"/>
      <c r="J310" s="13" t="s">
        <v>778</v>
      </c>
    </row>
    <row r="311" spans="1:10" x14ac:dyDescent="0.45">
      <c r="A311" s="5" t="s">
        <v>521</v>
      </c>
      <c r="B311" s="21">
        <v>106157</v>
      </c>
      <c r="C311" s="3" t="s">
        <v>709</v>
      </c>
      <c r="D311" s="3" t="s">
        <v>713</v>
      </c>
      <c r="E311" s="3"/>
      <c r="F311" s="7" t="s">
        <v>138</v>
      </c>
      <c r="G311" s="4" t="s">
        <v>80</v>
      </c>
      <c r="H311" s="40">
        <f>HYPERLINK("https://www.nite.go.jp/nbrc/catalogue/NBRCMediumDetailServlet?NO=000230",230)</f>
        <v>230</v>
      </c>
      <c r="I311" s="40"/>
      <c r="J311" s="13"/>
    </row>
    <row r="312" spans="1:10" x14ac:dyDescent="0.45">
      <c r="A312" s="5" t="s">
        <v>522</v>
      </c>
      <c r="B312" s="21">
        <v>106593</v>
      </c>
      <c r="C312" s="3" t="s">
        <v>709</v>
      </c>
      <c r="D312" s="3" t="s">
        <v>713</v>
      </c>
      <c r="E312" s="3"/>
      <c r="F312" s="7" t="s">
        <v>138</v>
      </c>
      <c r="G312" s="4" t="s">
        <v>80</v>
      </c>
      <c r="H312" s="40">
        <f>HYPERLINK("https://www.nite.go.jp/nbrc/catalogue/NBRCMediumDetailServlet?NO=000230",230)</f>
        <v>230</v>
      </c>
      <c r="I312" s="40"/>
      <c r="J312" s="13"/>
    </row>
    <row r="313" spans="1:10" ht="30" x14ac:dyDescent="0.45">
      <c r="A313" s="5" t="s">
        <v>943</v>
      </c>
      <c r="B313" s="21">
        <v>107147</v>
      </c>
      <c r="C313" s="3" t="s">
        <v>709</v>
      </c>
      <c r="D313" s="3" t="s">
        <v>713</v>
      </c>
      <c r="E313" s="3"/>
      <c r="F313" s="7" t="s">
        <v>223</v>
      </c>
      <c r="G313" s="4" t="s">
        <v>37</v>
      </c>
      <c r="H313" s="40">
        <f>HYPERLINK("https://www.nite.go.jp/nbrc/catalogue/NBRCMediumDetailServlet?NO=000310",310)</f>
        <v>310</v>
      </c>
      <c r="I313" s="40"/>
      <c r="J313" s="13" t="s">
        <v>779</v>
      </c>
    </row>
    <row r="314" spans="1:10" x14ac:dyDescent="0.45">
      <c r="A314" s="5" t="s">
        <v>727</v>
      </c>
      <c r="B314" s="21">
        <v>107605</v>
      </c>
      <c r="C314" s="3" t="s">
        <v>709</v>
      </c>
      <c r="D314" s="3" t="s">
        <v>713</v>
      </c>
      <c r="E314" s="3" t="s">
        <v>775</v>
      </c>
      <c r="F314" s="7" t="s">
        <v>523</v>
      </c>
      <c r="G314" s="4" t="s">
        <v>524</v>
      </c>
      <c r="H314" s="40">
        <f>HYPERLINK("https://www.nite.go.jp/nbrc/catalogue/NBRCMediumDetailServlet?NO=000312",312)</f>
        <v>312</v>
      </c>
      <c r="I314" s="40"/>
      <c r="J314" s="13" t="s">
        <v>765</v>
      </c>
    </row>
    <row r="315" spans="1:10" ht="30" x14ac:dyDescent="0.45">
      <c r="A315" s="5" t="s">
        <v>525</v>
      </c>
      <c r="B315" s="21">
        <v>107761</v>
      </c>
      <c r="C315" s="3" t="s">
        <v>709</v>
      </c>
      <c r="D315" s="3" t="s">
        <v>713</v>
      </c>
      <c r="E315" s="3" t="s">
        <v>774</v>
      </c>
      <c r="F315" s="7" t="s">
        <v>526</v>
      </c>
      <c r="G315" s="4" t="s">
        <v>527</v>
      </c>
      <c r="H315" s="40">
        <f>HYPERLINK("https://www.nite.go.jp/nbrc/catalogue/NBRCMediumDetailServlet?NO=000954",954)</f>
        <v>954</v>
      </c>
      <c r="I315" s="40">
        <f>HYPERLINK("https://www.nite.go.jp/nbrc/catalogue/NBRCMediumDetailServlet?NO=000802",802)</f>
        <v>802</v>
      </c>
      <c r="J315" s="13" t="s">
        <v>779</v>
      </c>
    </row>
    <row r="316" spans="1:10" x14ac:dyDescent="0.45">
      <c r="A316" s="5" t="s">
        <v>528</v>
      </c>
      <c r="B316" s="21">
        <v>107840</v>
      </c>
      <c r="C316" s="3" t="s">
        <v>709</v>
      </c>
      <c r="D316" s="3" t="s">
        <v>713</v>
      </c>
      <c r="E316" s="3" t="s">
        <v>775</v>
      </c>
      <c r="F316" s="7" t="s">
        <v>157</v>
      </c>
      <c r="G316" s="4" t="s">
        <v>158</v>
      </c>
      <c r="H316" s="40">
        <f>HYPERLINK("https://www.nite.go.jp/nbrc/catalogue/NBRCMediumDetailServlet?NO=000253",253)</f>
        <v>253</v>
      </c>
      <c r="I316" s="40">
        <f>HYPERLINK("https://www.nite.go.jp/nbrc/catalogue/NBRCMediumDetailServlet?NO=000230",230)</f>
        <v>230</v>
      </c>
      <c r="J316" s="13"/>
    </row>
    <row r="317" spans="1:10" x14ac:dyDescent="0.45">
      <c r="A317" s="5" t="s">
        <v>529</v>
      </c>
      <c r="B317" s="21">
        <v>107841</v>
      </c>
      <c r="C317" s="3" t="s">
        <v>709</v>
      </c>
      <c r="D317" s="3" t="s">
        <v>713</v>
      </c>
      <c r="E317" s="3" t="s">
        <v>775</v>
      </c>
      <c r="F317" s="7" t="s">
        <v>530</v>
      </c>
      <c r="G317" s="4" t="s">
        <v>531</v>
      </c>
      <c r="H317" s="40">
        <f>HYPERLINK("https://www.nite.go.jp/nbrc/catalogue/NBRCMediumDetailServlet?NO=000253",253)</f>
        <v>253</v>
      </c>
      <c r="I317" s="40">
        <f>HYPERLINK("https://www.nite.go.jp/nbrc/catalogue/NBRCMediumDetailServlet?NO=000230",230)</f>
        <v>230</v>
      </c>
      <c r="J317" s="13"/>
    </row>
    <row r="318" spans="1:10" x14ac:dyDescent="0.45">
      <c r="A318" s="5" t="s">
        <v>532</v>
      </c>
      <c r="B318" s="21">
        <v>107857</v>
      </c>
      <c r="C318" s="3" t="s">
        <v>709</v>
      </c>
      <c r="D318" s="3" t="s">
        <v>713</v>
      </c>
      <c r="E318" s="3" t="s">
        <v>774</v>
      </c>
      <c r="F318" s="7" t="s">
        <v>533</v>
      </c>
      <c r="G318" s="4" t="s">
        <v>534</v>
      </c>
      <c r="H318" s="40">
        <f>HYPERLINK("https://www.nite.go.jp/nbrc/catalogue/NBRCMediumDetailServlet?NO=000347",347)</f>
        <v>347</v>
      </c>
      <c r="I318" s="40"/>
      <c r="J318" s="13"/>
    </row>
    <row r="319" spans="1:10" ht="30" x14ac:dyDescent="0.45">
      <c r="A319" s="5" t="s">
        <v>739</v>
      </c>
      <c r="B319" s="21">
        <v>107862</v>
      </c>
      <c r="C319" s="3" t="s">
        <v>709</v>
      </c>
      <c r="D319" s="3"/>
      <c r="E319" s="3" t="s">
        <v>774</v>
      </c>
      <c r="F319" s="7" t="s">
        <v>535</v>
      </c>
      <c r="G319" s="4" t="s">
        <v>536</v>
      </c>
      <c r="H319" s="40">
        <f>HYPERLINK("https://www.nite.go.jp/nbrc/catalogue/NBRCMediumDetailServlet?NO=000814",814)</f>
        <v>814</v>
      </c>
      <c r="I319" s="40">
        <f>HYPERLINK("https://www.nite.go.jp/nbrc/catalogue/NBRCMediumDetailServlet?NO=000347",347)</f>
        <v>347</v>
      </c>
      <c r="J319" s="13" t="s">
        <v>779</v>
      </c>
    </row>
    <row r="320" spans="1:10" ht="30" x14ac:dyDescent="0.45">
      <c r="A320" s="5" t="s">
        <v>944</v>
      </c>
      <c r="B320" s="21">
        <v>107865</v>
      </c>
      <c r="C320" s="3" t="s">
        <v>709</v>
      </c>
      <c r="D320" s="3" t="s">
        <v>713</v>
      </c>
      <c r="E320" s="3"/>
      <c r="F320" s="7" t="s">
        <v>537</v>
      </c>
      <c r="G320" s="4" t="s">
        <v>538</v>
      </c>
      <c r="H320" s="40">
        <f>HYPERLINK("https://www.nite.go.jp/nbrc/catalogue/NBRCMediumDetailServlet?NO=000310",310)</f>
        <v>310</v>
      </c>
      <c r="I320" s="40"/>
      <c r="J320" s="13" t="s">
        <v>779</v>
      </c>
    </row>
    <row r="321" spans="1:10" x14ac:dyDescent="0.45">
      <c r="A321" s="5" t="s">
        <v>196</v>
      </c>
      <c r="B321" s="21">
        <v>108214</v>
      </c>
      <c r="C321" s="3" t="s">
        <v>709</v>
      </c>
      <c r="D321" s="3"/>
      <c r="E321" s="3" t="s">
        <v>774</v>
      </c>
      <c r="F321" s="7" t="s">
        <v>156</v>
      </c>
      <c r="G321" s="4" t="s">
        <v>31</v>
      </c>
      <c r="H321" s="40">
        <f>HYPERLINK("https://www.nite.go.jp/nbrc/catalogue/NBRCMediumDetailServlet?NO=000802",802)</f>
        <v>802</v>
      </c>
      <c r="I321" s="40">
        <f>HYPERLINK("https://www.nite.go.jp/nbrc/catalogue/NBRCMediumDetailServlet?NO=000891",891)</f>
        <v>891</v>
      </c>
      <c r="J321" s="13"/>
    </row>
    <row r="322" spans="1:10" x14ac:dyDescent="0.45">
      <c r="A322" s="5" t="s">
        <v>539</v>
      </c>
      <c r="B322" s="21">
        <v>108223</v>
      </c>
      <c r="C322" s="3" t="s">
        <v>709</v>
      </c>
      <c r="D322" s="3" t="s">
        <v>713</v>
      </c>
      <c r="E322" s="3" t="s">
        <v>775</v>
      </c>
      <c r="F322" s="7" t="s">
        <v>156</v>
      </c>
      <c r="G322" s="4" t="s">
        <v>31</v>
      </c>
      <c r="H322" s="40">
        <f t="shared" ref="H322:H327" si="12">HYPERLINK("https://www.nite.go.jp/nbrc/catalogue/NBRCMediumDetailServlet?NO=000227",227)</f>
        <v>227</v>
      </c>
      <c r="I322" s="40"/>
      <c r="J322" s="13"/>
    </row>
    <row r="323" spans="1:10" x14ac:dyDescent="0.45">
      <c r="A323" s="5" t="s">
        <v>540</v>
      </c>
      <c r="B323" s="21">
        <v>108224</v>
      </c>
      <c r="C323" s="3" t="s">
        <v>709</v>
      </c>
      <c r="D323" s="3" t="s">
        <v>713</v>
      </c>
      <c r="E323" s="3" t="s">
        <v>775</v>
      </c>
      <c r="F323" s="7" t="s">
        <v>541</v>
      </c>
      <c r="G323" s="4" t="s">
        <v>542</v>
      </c>
      <c r="H323" s="40">
        <f t="shared" si="12"/>
        <v>227</v>
      </c>
      <c r="I323" s="40"/>
      <c r="J323" s="13"/>
    </row>
    <row r="324" spans="1:10" x14ac:dyDescent="0.45">
      <c r="A324" s="5" t="s">
        <v>543</v>
      </c>
      <c r="B324" s="21">
        <v>108233</v>
      </c>
      <c r="C324" s="3" t="s">
        <v>709</v>
      </c>
      <c r="D324" s="3" t="s">
        <v>713</v>
      </c>
      <c r="E324" s="3" t="s">
        <v>774</v>
      </c>
      <c r="F324" s="7" t="s">
        <v>544</v>
      </c>
      <c r="G324" s="4" t="s">
        <v>545</v>
      </c>
      <c r="H324" s="40">
        <f t="shared" si="12"/>
        <v>227</v>
      </c>
      <c r="I324" s="40"/>
      <c r="J324" s="13"/>
    </row>
    <row r="325" spans="1:10" x14ac:dyDescent="0.45">
      <c r="A325" s="5" t="s">
        <v>546</v>
      </c>
      <c r="B325" s="21">
        <v>108235</v>
      </c>
      <c r="C325" s="3" t="s">
        <v>709</v>
      </c>
      <c r="D325" s="3" t="s">
        <v>713</v>
      </c>
      <c r="E325" s="3" t="s">
        <v>774</v>
      </c>
      <c r="F325" s="7" t="s">
        <v>547</v>
      </c>
      <c r="G325" s="4" t="s">
        <v>548</v>
      </c>
      <c r="H325" s="40">
        <f t="shared" si="12"/>
        <v>227</v>
      </c>
      <c r="I325" s="40"/>
      <c r="J325" s="13"/>
    </row>
    <row r="326" spans="1:10" x14ac:dyDescent="0.45">
      <c r="A326" s="5" t="s">
        <v>549</v>
      </c>
      <c r="B326" s="21">
        <v>108244</v>
      </c>
      <c r="C326" s="3" t="s">
        <v>709</v>
      </c>
      <c r="D326" s="3" t="s">
        <v>713</v>
      </c>
      <c r="E326" s="3" t="s">
        <v>775</v>
      </c>
      <c r="F326" s="7" t="s">
        <v>550</v>
      </c>
      <c r="G326" s="4" t="s">
        <v>551</v>
      </c>
      <c r="H326" s="40">
        <f t="shared" si="12"/>
        <v>227</v>
      </c>
      <c r="I326" s="40"/>
      <c r="J326" s="13"/>
    </row>
    <row r="327" spans="1:10" x14ac:dyDescent="0.45">
      <c r="A327" s="5" t="s">
        <v>552</v>
      </c>
      <c r="B327" s="21">
        <v>108245</v>
      </c>
      <c r="C327" s="3" t="s">
        <v>709</v>
      </c>
      <c r="D327" s="3" t="s">
        <v>713</v>
      </c>
      <c r="E327" s="3"/>
      <c r="F327" s="7" t="s">
        <v>553</v>
      </c>
      <c r="G327" s="4" t="s">
        <v>554</v>
      </c>
      <c r="H327" s="40">
        <f t="shared" si="12"/>
        <v>227</v>
      </c>
      <c r="I327" s="40"/>
      <c r="J327" s="13"/>
    </row>
    <row r="328" spans="1:10" x14ac:dyDescent="0.45">
      <c r="A328" s="5" t="s">
        <v>555</v>
      </c>
      <c r="B328" s="21">
        <v>108793</v>
      </c>
      <c r="C328" s="3" t="s">
        <v>709</v>
      </c>
      <c r="D328" s="3"/>
      <c r="E328" s="3"/>
      <c r="F328" s="7" t="s">
        <v>556</v>
      </c>
      <c r="G328" s="4" t="s">
        <v>557</v>
      </c>
      <c r="H328" s="40">
        <f>HYPERLINK("https://www.nite.go.jp/nbrc/catalogue/NBRCMediumDetailServlet?NO=000891",891)</f>
        <v>891</v>
      </c>
      <c r="I328" s="40">
        <f>HYPERLINK("https://www.nite.go.jp/nbrc/catalogue/NBRCMediumDetailServlet?NO=000802",802)</f>
        <v>802</v>
      </c>
      <c r="J328" s="13"/>
    </row>
    <row r="329" spans="1:10" x14ac:dyDescent="0.45">
      <c r="A329" s="5" t="s">
        <v>558</v>
      </c>
      <c r="B329" s="21">
        <v>108933</v>
      </c>
      <c r="C329" s="3" t="s">
        <v>709</v>
      </c>
      <c r="D329" s="3" t="s">
        <v>713</v>
      </c>
      <c r="E329" s="3" t="s">
        <v>775</v>
      </c>
      <c r="F329" s="7" t="s">
        <v>559</v>
      </c>
      <c r="G329" s="4" t="s">
        <v>560</v>
      </c>
      <c r="H329" s="40">
        <f>HYPERLINK("https://www.nite.go.jp/nbrc/catalogue/NBRCMediumDetailServlet?NO=000227",227)</f>
        <v>227</v>
      </c>
      <c r="I329" s="40"/>
      <c r="J329" s="13"/>
    </row>
    <row r="330" spans="1:10" x14ac:dyDescent="0.45">
      <c r="A330" s="5" t="s">
        <v>561</v>
      </c>
      <c r="B330" s="21">
        <v>108934</v>
      </c>
      <c r="C330" s="3" t="s">
        <v>709</v>
      </c>
      <c r="D330" s="3" t="s">
        <v>713</v>
      </c>
      <c r="E330" s="3" t="s">
        <v>774</v>
      </c>
      <c r="F330" s="7" t="s">
        <v>562</v>
      </c>
      <c r="G330" s="4" t="s">
        <v>563</v>
      </c>
      <c r="H330" s="40">
        <f>HYPERLINK("https://www.nite.go.jp/nbrc/catalogue/NBRCMediumDetailServlet?NO=000227",227)</f>
        <v>227</v>
      </c>
      <c r="I330" s="40"/>
      <c r="J330" s="13"/>
    </row>
    <row r="331" spans="1:10" x14ac:dyDescent="0.45">
      <c r="A331" s="5" t="s">
        <v>564</v>
      </c>
      <c r="B331" s="21">
        <v>108935</v>
      </c>
      <c r="C331" s="3" t="s">
        <v>709</v>
      </c>
      <c r="D331" s="3" t="s">
        <v>713</v>
      </c>
      <c r="E331" s="3" t="s">
        <v>774</v>
      </c>
      <c r="F331" s="7" t="s">
        <v>565</v>
      </c>
      <c r="G331" s="4" t="s">
        <v>566</v>
      </c>
      <c r="H331" s="40">
        <f>HYPERLINK("https://www.nite.go.jp/nbrc/catalogue/NBRCMediumDetailServlet?NO=000227",227)</f>
        <v>227</v>
      </c>
      <c r="I331" s="40"/>
      <c r="J331" s="13"/>
    </row>
    <row r="332" spans="1:10" x14ac:dyDescent="0.45">
      <c r="A332" s="5" t="s">
        <v>567</v>
      </c>
      <c r="B332" s="21">
        <v>108936</v>
      </c>
      <c r="C332" s="3" t="s">
        <v>709</v>
      </c>
      <c r="D332" s="3" t="s">
        <v>713</v>
      </c>
      <c r="E332" s="3" t="s">
        <v>774</v>
      </c>
      <c r="F332" s="7" t="s">
        <v>568</v>
      </c>
      <c r="G332" s="4" t="s">
        <v>75</v>
      </c>
      <c r="H332" s="40">
        <f>HYPERLINK("https://www.nite.go.jp/nbrc/catalogue/NBRCMediumDetailServlet?NO=000227",227)</f>
        <v>227</v>
      </c>
      <c r="I332" s="40"/>
      <c r="J332" s="13"/>
    </row>
    <row r="333" spans="1:10" x14ac:dyDescent="0.45">
      <c r="A333" s="5" t="s">
        <v>569</v>
      </c>
      <c r="B333" s="21">
        <v>108937</v>
      </c>
      <c r="C333" s="3" t="s">
        <v>709</v>
      </c>
      <c r="D333" s="3" t="s">
        <v>713</v>
      </c>
      <c r="E333" s="3" t="s">
        <v>774</v>
      </c>
      <c r="F333" s="7" t="s">
        <v>570</v>
      </c>
      <c r="G333" s="4" t="s">
        <v>571</v>
      </c>
      <c r="H333" s="40">
        <f>HYPERLINK("https://www.nite.go.jp/nbrc/catalogue/NBRCMediumDetailServlet?NO=000227",227)</f>
        <v>227</v>
      </c>
      <c r="I333" s="40"/>
      <c r="J333" s="13"/>
    </row>
    <row r="334" spans="1:10" x14ac:dyDescent="0.45">
      <c r="A334" s="5" t="s">
        <v>511</v>
      </c>
      <c r="B334" s="21">
        <v>109015</v>
      </c>
      <c r="C334" s="3" t="s">
        <v>710</v>
      </c>
      <c r="D334" s="3"/>
      <c r="E334" s="3" t="s">
        <v>774</v>
      </c>
      <c r="F334" s="7" t="s">
        <v>572</v>
      </c>
      <c r="G334" s="4" t="s">
        <v>573</v>
      </c>
      <c r="H334" s="40">
        <f>HYPERLINK("https://www.nite.go.jp/nbrc/catalogue/NBRCMediumDetailServlet?NO=000001",1)</f>
        <v>1</v>
      </c>
      <c r="I334" s="40">
        <f>HYPERLINK("https://www.nite.go.jp/nbrc/catalogue/NBRCMediumDetailServlet?NO=000005",5)</f>
        <v>5</v>
      </c>
      <c r="J334" s="13"/>
    </row>
    <row r="335" spans="1:10" x14ac:dyDescent="0.45">
      <c r="A335" s="5" t="s">
        <v>574</v>
      </c>
      <c r="B335" s="21">
        <v>109366</v>
      </c>
      <c r="C335" s="3" t="s">
        <v>710</v>
      </c>
      <c r="D335" s="3" t="s">
        <v>713</v>
      </c>
      <c r="E335" s="3" t="s">
        <v>774</v>
      </c>
      <c r="F335" s="7" t="s">
        <v>575</v>
      </c>
      <c r="G335" s="4" t="s">
        <v>355</v>
      </c>
      <c r="H335" s="40">
        <f>HYPERLINK("https://www.nite.go.jp/nbrc/catalogue/NBRCMediumDetailServlet?NO=000001",1)</f>
        <v>1</v>
      </c>
      <c r="I335" s="40"/>
      <c r="J335" s="13"/>
    </row>
    <row r="336" spans="1:10" x14ac:dyDescent="0.45">
      <c r="A336" s="5" t="s">
        <v>576</v>
      </c>
      <c r="B336" s="4">
        <v>109505</v>
      </c>
      <c r="C336" s="23" t="s">
        <v>712</v>
      </c>
      <c r="D336" s="3"/>
      <c r="E336" s="3"/>
      <c r="F336" s="7" t="s">
        <v>763</v>
      </c>
      <c r="G336" s="4" t="s">
        <v>764</v>
      </c>
      <c r="H336" s="40">
        <f>HYPERLINK("https://www.nite.go.jp/nbrc/catalogue/NBRCMediumDetailServlet?NO=000802",802)</f>
        <v>802</v>
      </c>
      <c r="I336" s="40">
        <f>HYPERLINK("https://www.nite.go.jp/nbrc/catalogue/NBRCMediumDetailServlet?NO=001267",1267)</f>
        <v>1267</v>
      </c>
      <c r="J336" s="13"/>
    </row>
    <row r="337" spans="1:10" x14ac:dyDescent="0.45">
      <c r="A337" s="5" t="s">
        <v>577</v>
      </c>
      <c r="B337" s="21">
        <v>109525</v>
      </c>
      <c r="C337" s="23" t="s">
        <v>712</v>
      </c>
      <c r="D337" s="3"/>
      <c r="E337" s="3"/>
      <c r="F337" s="7" t="s">
        <v>223</v>
      </c>
      <c r="G337" s="4" t="s">
        <v>37</v>
      </c>
      <c r="H337" s="40">
        <f>HYPERLINK("https://www.nite.go.jp/nbrc/catalogue/NBRCMediumDetailServlet?NO=000802",802)</f>
        <v>802</v>
      </c>
      <c r="I337" s="40">
        <f>HYPERLINK("https://www.nite.go.jp/nbrc/catalogue/NBRCMediumDetailServlet?NO=001267",1267)</f>
        <v>1267</v>
      </c>
      <c r="J337" s="13"/>
    </row>
    <row r="338" spans="1:10" x14ac:dyDescent="0.45">
      <c r="A338" s="5" t="s">
        <v>578</v>
      </c>
      <c r="B338" s="21">
        <v>109590</v>
      </c>
      <c r="C338" s="3" t="s">
        <v>709</v>
      </c>
      <c r="D338" s="3" t="s">
        <v>713</v>
      </c>
      <c r="E338" s="3" t="s">
        <v>774</v>
      </c>
      <c r="F338" s="7" t="s">
        <v>579</v>
      </c>
      <c r="G338" s="4" t="s">
        <v>580</v>
      </c>
      <c r="H338" s="40">
        <f>HYPERLINK("https://www.nite.go.jp/nbrc/catalogue/NBRCMediumDetailServlet?NO=000227",227)</f>
        <v>227</v>
      </c>
      <c r="I338" s="40"/>
      <c r="J338" s="13"/>
    </row>
    <row r="339" spans="1:10" ht="30" x14ac:dyDescent="0.45">
      <c r="A339" s="5" t="s">
        <v>728</v>
      </c>
      <c r="B339" s="21">
        <v>109713</v>
      </c>
      <c r="C339" s="3" t="s">
        <v>709</v>
      </c>
      <c r="D339" s="3" t="s">
        <v>713</v>
      </c>
      <c r="E339" s="3" t="s">
        <v>775</v>
      </c>
      <c r="F339" s="7" t="s">
        <v>138</v>
      </c>
      <c r="G339" s="4" t="s">
        <v>80</v>
      </c>
      <c r="H339" s="40">
        <f t="shared" ref="H339:H346" si="13">HYPERLINK("https://www.nite.go.jp/nbrc/catalogue/NBRCMediumDetailServlet?NO=000802",802)</f>
        <v>802</v>
      </c>
      <c r="I339" s="40"/>
      <c r="J339" s="13" t="s">
        <v>779</v>
      </c>
    </row>
    <row r="340" spans="1:10" ht="15" customHeight="1" x14ac:dyDescent="0.45">
      <c r="A340" s="5" t="s">
        <v>581</v>
      </c>
      <c r="B340" s="21">
        <v>109714</v>
      </c>
      <c r="C340" s="3" t="s">
        <v>709</v>
      </c>
      <c r="D340" s="3" t="s">
        <v>713</v>
      </c>
      <c r="E340" s="3" t="s">
        <v>775</v>
      </c>
      <c r="F340" s="7" t="s">
        <v>138</v>
      </c>
      <c r="G340" s="4" t="s">
        <v>80</v>
      </c>
      <c r="H340" s="40">
        <f t="shared" si="13"/>
        <v>802</v>
      </c>
      <c r="I340" s="40"/>
      <c r="J340" s="13" t="s">
        <v>779</v>
      </c>
    </row>
    <row r="341" spans="1:10" ht="15" customHeight="1" x14ac:dyDescent="0.45">
      <c r="A341" s="5" t="s">
        <v>582</v>
      </c>
      <c r="B341" s="21">
        <v>109758</v>
      </c>
      <c r="C341" s="3" t="s">
        <v>709</v>
      </c>
      <c r="D341" s="3" t="s">
        <v>713</v>
      </c>
      <c r="E341" s="3" t="s">
        <v>775</v>
      </c>
      <c r="F341" s="7" t="s">
        <v>11</v>
      </c>
      <c r="G341" s="4" t="s">
        <v>12</v>
      </c>
      <c r="H341" s="40">
        <f t="shared" si="13"/>
        <v>802</v>
      </c>
      <c r="I341" s="40"/>
      <c r="J341" s="13"/>
    </row>
    <row r="342" spans="1:10" x14ac:dyDescent="0.45">
      <c r="A342" s="5" t="s">
        <v>583</v>
      </c>
      <c r="B342" s="21">
        <v>109759</v>
      </c>
      <c r="C342" s="3" t="s">
        <v>709</v>
      </c>
      <c r="D342" s="3" t="s">
        <v>713</v>
      </c>
      <c r="E342" s="3" t="s">
        <v>775</v>
      </c>
      <c r="F342" s="7" t="s">
        <v>72</v>
      </c>
      <c r="G342" s="4" t="s">
        <v>73</v>
      </c>
      <c r="H342" s="40">
        <f t="shared" si="13"/>
        <v>802</v>
      </c>
      <c r="I342" s="40"/>
      <c r="J342" s="13"/>
    </row>
    <row r="343" spans="1:10" x14ac:dyDescent="0.45">
      <c r="A343" s="5" t="s">
        <v>729</v>
      </c>
      <c r="B343" s="21">
        <v>109766</v>
      </c>
      <c r="C343" s="3" t="s">
        <v>709</v>
      </c>
      <c r="D343" s="3" t="s">
        <v>713</v>
      </c>
      <c r="E343" s="3"/>
      <c r="F343" s="7" t="s">
        <v>138</v>
      </c>
      <c r="G343" s="4" t="s">
        <v>80</v>
      </c>
      <c r="H343" s="40">
        <f t="shared" si="13"/>
        <v>802</v>
      </c>
      <c r="I343" s="40"/>
      <c r="J343" s="13"/>
    </row>
    <row r="344" spans="1:10" x14ac:dyDescent="0.45">
      <c r="A344" s="5" t="s">
        <v>584</v>
      </c>
      <c r="B344" s="21">
        <v>109768</v>
      </c>
      <c r="C344" s="3" t="s">
        <v>709</v>
      </c>
      <c r="D344" s="3" t="s">
        <v>713</v>
      </c>
      <c r="E344" s="3" t="s">
        <v>775</v>
      </c>
      <c r="F344" s="7" t="s">
        <v>138</v>
      </c>
      <c r="G344" s="4" t="s">
        <v>80</v>
      </c>
      <c r="H344" s="40">
        <f t="shared" si="13"/>
        <v>802</v>
      </c>
      <c r="I344" s="40"/>
      <c r="J344" s="13"/>
    </row>
    <row r="345" spans="1:10" x14ac:dyDescent="0.45">
      <c r="A345" s="5" t="s">
        <v>585</v>
      </c>
      <c r="B345" s="21">
        <v>109769</v>
      </c>
      <c r="C345" s="3" t="s">
        <v>709</v>
      </c>
      <c r="D345" s="3" t="s">
        <v>713</v>
      </c>
      <c r="E345" s="3" t="s">
        <v>775</v>
      </c>
      <c r="F345" s="7" t="s">
        <v>138</v>
      </c>
      <c r="G345" s="4" t="s">
        <v>80</v>
      </c>
      <c r="H345" s="40">
        <f t="shared" si="13"/>
        <v>802</v>
      </c>
      <c r="I345" s="40"/>
      <c r="J345" s="13"/>
    </row>
    <row r="346" spans="1:10" x14ac:dyDescent="0.45">
      <c r="A346" s="5" t="s">
        <v>586</v>
      </c>
      <c r="B346" s="21">
        <v>109770</v>
      </c>
      <c r="C346" s="3" t="s">
        <v>709</v>
      </c>
      <c r="D346" s="3" t="s">
        <v>713</v>
      </c>
      <c r="E346" s="3" t="s">
        <v>775</v>
      </c>
      <c r="F346" s="7" t="s">
        <v>138</v>
      </c>
      <c r="G346" s="4" t="s">
        <v>80</v>
      </c>
      <c r="H346" s="40">
        <f t="shared" si="13"/>
        <v>802</v>
      </c>
      <c r="I346" s="40"/>
      <c r="J346" s="13"/>
    </row>
    <row r="347" spans="1:10" x14ac:dyDescent="0.45">
      <c r="A347" s="5" t="s">
        <v>587</v>
      </c>
      <c r="B347" s="21">
        <v>109793</v>
      </c>
      <c r="C347" s="3" t="s">
        <v>710</v>
      </c>
      <c r="D347" s="3" t="s">
        <v>713</v>
      </c>
      <c r="E347" s="3" t="s">
        <v>774</v>
      </c>
      <c r="F347" s="7" t="s">
        <v>575</v>
      </c>
      <c r="G347" s="4" t="s">
        <v>355</v>
      </c>
      <c r="H347" s="40">
        <f>HYPERLINK("https://www.nite.go.jp/nbrc/catalogue/NBRCMediumDetailServlet?NO=000001",1)</f>
        <v>1</v>
      </c>
      <c r="I347" s="40"/>
      <c r="J347" s="13"/>
    </row>
    <row r="348" spans="1:10" ht="30" x14ac:dyDescent="0.45">
      <c r="A348" s="5" t="s">
        <v>588</v>
      </c>
      <c r="B348" s="21">
        <v>109912</v>
      </c>
      <c r="C348" s="3" t="s">
        <v>709</v>
      </c>
      <c r="D348" s="3" t="s">
        <v>713</v>
      </c>
      <c r="E348" s="3" t="s">
        <v>775</v>
      </c>
      <c r="F348" s="7" t="s">
        <v>589</v>
      </c>
      <c r="G348" s="4" t="s">
        <v>590</v>
      </c>
      <c r="H348" s="40">
        <f>HYPERLINK("https://www.nite.go.jp/nbrc/catalogue/NBRCMediumDetailServlet?NO=000802",802)</f>
        <v>802</v>
      </c>
      <c r="I348" s="40"/>
      <c r="J348" s="13" t="s">
        <v>779</v>
      </c>
    </row>
    <row r="349" spans="1:10" x14ac:dyDescent="0.45">
      <c r="A349" s="5" t="s">
        <v>591</v>
      </c>
      <c r="B349" s="21">
        <v>109957</v>
      </c>
      <c r="C349" s="3" t="s">
        <v>709</v>
      </c>
      <c r="D349" s="3" t="s">
        <v>713</v>
      </c>
      <c r="E349" s="3"/>
      <c r="F349" s="7" t="s">
        <v>592</v>
      </c>
      <c r="G349" s="4" t="s">
        <v>37</v>
      </c>
      <c r="H349" s="40">
        <f>HYPERLINK("https://www.nite.go.jp/nbrc/catalogue/NBRCMediumDetailServlet?NO=001361",1361)</f>
        <v>1361</v>
      </c>
      <c r="I349" s="40"/>
      <c r="J349" s="13" t="s">
        <v>765</v>
      </c>
    </row>
    <row r="350" spans="1:10" x14ac:dyDescent="0.45">
      <c r="A350" s="5" t="s">
        <v>593</v>
      </c>
      <c r="B350" s="21">
        <v>110143</v>
      </c>
      <c r="C350" s="3" t="s">
        <v>710</v>
      </c>
      <c r="D350" s="3" t="s">
        <v>713</v>
      </c>
      <c r="E350" s="3" t="s">
        <v>774</v>
      </c>
      <c r="F350" s="7" t="s">
        <v>594</v>
      </c>
      <c r="G350" s="4" t="s">
        <v>595</v>
      </c>
      <c r="H350" s="40">
        <f>HYPERLINK("https://www.nite.go.jp/nbrc/catalogue/NBRCMediumDetailServlet?NO=000001",1)</f>
        <v>1</v>
      </c>
      <c r="I350" s="40"/>
      <c r="J350" s="13"/>
    </row>
    <row r="351" spans="1:10" x14ac:dyDescent="0.45">
      <c r="A351" s="5" t="s">
        <v>596</v>
      </c>
      <c r="B351" s="21">
        <v>110489</v>
      </c>
      <c r="C351" s="3" t="s">
        <v>709</v>
      </c>
      <c r="D351" s="3"/>
      <c r="E351" s="3" t="s">
        <v>774</v>
      </c>
      <c r="F351" s="7" t="s">
        <v>597</v>
      </c>
      <c r="G351" s="4" t="s">
        <v>598</v>
      </c>
      <c r="H351" s="40">
        <f t="shared" ref="H351:H373" si="14">HYPERLINK("https://www.nite.go.jp/nbrc/catalogue/NBRCMediumDetailServlet?NO=000802",802)</f>
        <v>802</v>
      </c>
      <c r="I351" s="40"/>
      <c r="J351" s="13"/>
    </row>
    <row r="352" spans="1:10" x14ac:dyDescent="0.45">
      <c r="A352" s="5" t="s">
        <v>596</v>
      </c>
      <c r="B352" s="21">
        <v>110490</v>
      </c>
      <c r="C352" s="3" t="s">
        <v>709</v>
      </c>
      <c r="D352" s="3"/>
      <c r="E352" s="3" t="s">
        <v>774</v>
      </c>
      <c r="F352" s="7" t="s">
        <v>599</v>
      </c>
      <c r="G352" s="4" t="s">
        <v>312</v>
      </c>
      <c r="H352" s="40">
        <f t="shared" si="14"/>
        <v>802</v>
      </c>
      <c r="I352" s="40"/>
      <c r="J352" s="13"/>
    </row>
    <row r="353" spans="1:10" x14ac:dyDescent="0.45">
      <c r="A353" s="5" t="s">
        <v>596</v>
      </c>
      <c r="B353" s="21">
        <v>110491</v>
      </c>
      <c r="C353" s="3" t="s">
        <v>709</v>
      </c>
      <c r="D353" s="3"/>
      <c r="E353" s="3" t="s">
        <v>774</v>
      </c>
      <c r="F353" s="7" t="s">
        <v>599</v>
      </c>
      <c r="G353" s="4" t="s">
        <v>312</v>
      </c>
      <c r="H353" s="40">
        <f t="shared" si="14"/>
        <v>802</v>
      </c>
      <c r="I353" s="40"/>
      <c r="J353" s="13"/>
    </row>
    <row r="354" spans="1:10" x14ac:dyDescent="0.45">
      <c r="A354" s="5" t="s">
        <v>596</v>
      </c>
      <c r="B354" s="21">
        <v>110492</v>
      </c>
      <c r="C354" s="3" t="s">
        <v>709</v>
      </c>
      <c r="D354" s="3"/>
      <c r="E354" s="3" t="s">
        <v>774</v>
      </c>
      <c r="F354" s="7" t="s">
        <v>599</v>
      </c>
      <c r="G354" s="4" t="s">
        <v>312</v>
      </c>
      <c r="H354" s="40">
        <f t="shared" si="14"/>
        <v>802</v>
      </c>
      <c r="I354" s="40"/>
      <c r="J354" s="13"/>
    </row>
    <row r="355" spans="1:10" x14ac:dyDescent="0.45">
      <c r="A355" s="5" t="s">
        <v>596</v>
      </c>
      <c r="B355" s="21">
        <v>110493</v>
      </c>
      <c r="C355" s="3" t="s">
        <v>709</v>
      </c>
      <c r="D355" s="3"/>
      <c r="E355" s="3" t="s">
        <v>774</v>
      </c>
      <c r="F355" s="7" t="s">
        <v>600</v>
      </c>
      <c r="G355" s="4" t="s">
        <v>601</v>
      </c>
      <c r="H355" s="40">
        <f t="shared" si="14"/>
        <v>802</v>
      </c>
      <c r="I355" s="40"/>
      <c r="J355" s="13"/>
    </row>
    <row r="356" spans="1:10" x14ac:dyDescent="0.45">
      <c r="A356" s="5" t="s">
        <v>596</v>
      </c>
      <c r="B356" s="21">
        <v>110494</v>
      </c>
      <c r="C356" s="3" t="s">
        <v>709</v>
      </c>
      <c r="D356" s="3"/>
      <c r="E356" s="3" t="s">
        <v>774</v>
      </c>
      <c r="F356" s="7" t="s">
        <v>600</v>
      </c>
      <c r="G356" s="4" t="s">
        <v>601</v>
      </c>
      <c r="H356" s="40">
        <f t="shared" si="14"/>
        <v>802</v>
      </c>
      <c r="I356" s="40"/>
      <c r="J356" s="13"/>
    </row>
    <row r="357" spans="1:10" x14ac:dyDescent="0.45">
      <c r="A357" s="5" t="s">
        <v>596</v>
      </c>
      <c r="B357" s="21">
        <v>110495</v>
      </c>
      <c r="C357" s="3" t="s">
        <v>709</v>
      </c>
      <c r="D357" s="3"/>
      <c r="E357" s="3" t="s">
        <v>774</v>
      </c>
      <c r="F357" s="7" t="s">
        <v>544</v>
      </c>
      <c r="G357" s="4" t="s">
        <v>545</v>
      </c>
      <c r="H357" s="40">
        <f t="shared" si="14"/>
        <v>802</v>
      </c>
      <c r="I357" s="40"/>
      <c r="J357" s="13"/>
    </row>
    <row r="358" spans="1:10" x14ac:dyDescent="0.45">
      <c r="A358" s="5" t="s">
        <v>740</v>
      </c>
      <c r="B358" s="21">
        <v>110496</v>
      </c>
      <c r="C358" s="3" t="s">
        <v>709</v>
      </c>
      <c r="D358" s="3"/>
      <c r="E358" s="3" t="s">
        <v>774</v>
      </c>
      <c r="F358" s="7" t="s">
        <v>157</v>
      </c>
      <c r="G358" s="4" t="s">
        <v>158</v>
      </c>
      <c r="H358" s="40">
        <f t="shared" si="14"/>
        <v>802</v>
      </c>
      <c r="I358" s="40"/>
      <c r="J358" s="13"/>
    </row>
    <row r="359" spans="1:10" x14ac:dyDescent="0.45">
      <c r="A359" s="5" t="s">
        <v>583</v>
      </c>
      <c r="B359" s="21">
        <v>110497</v>
      </c>
      <c r="C359" s="3" t="s">
        <v>709</v>
      </c>
      <c r="D359" s="3"/>
      <c r="E359" s="3" t="s">
        <v>775</v>
      </c>
      <c r="F359" s="7" t="s">
        <v>156</v>
      </c>
      <c r="G359" s="4" t="s">
        <v>31</v>
      </c>
      <c r="H359" s="40">
        <f t="shared" si="14"/>
        <v>802</v>
      </c>
      <c r="I359" s="40"/>
      <c r="J359" s="13"/>
    </row>
    <row r="360" spans="1:10" x14ac:dyDescent="0.45">
      <c r="A360" s="5" t="s">
        <v>602</v>
      </c>
      <c r="B360" s="21">
        <v>110498</v>
      </c>
      <c r="C360" s="3" t="s">
        <v>709</v>
      </c>
      <c r="D360" s="3"/>
      <c r="E360" s="3" t="s">
        <v>775</v>
      </c>
      <c r="F360" s="7" t="s">
        <v>603</v>
      </c>
      <c r="G360" s="4" t="s">
        <v>604</v>
      </c>
      <c r="H360" s="40">
        <f t="shared" si="14"/>
        <v>802</v>
      </c>
      <c r="I360" s="40"/>
      <c r="J360" s="13"/>
    </row>
    <row r="361" spans="1:10" x14ac:dyDescent="0.45">
      <c r="A361" s="5" t="s">
        <v>602</v>
      </c>
      <c r="B361" s="21">
        <v>110499</v>
      </c>
      <c r="C361" s="3" t="s">
        <v>709</v>
      </c>
      <c r="D361" s="3"/>
      <c r="E361" s="3" t="s">
        <v>775</v>
      </c>
      <c r="F361" s="7" t="s">
        <v>156</v>
      </c>
      <c r="G361" s="4" t="s">
        <v>31</v>
      </c>
      <c r="H361" s="40">
        <f t="shared" si="14"/>
        <v>802</v>
      </c>
      <c r="I361" s="40"/>
      <c r="J361" s="13"/>
    </row>
    <row r="362" spans="1:10" x14ac:dyDescent="0.45">
      <c r="A362" s="5" t="s">
        <v>602</v>
      </c>
      <c r="B362" s="21">
        <v>110500</v>
      </c>
      <c r="C362" s="3" t="s">
        <v>709</v>
      </c>
      <c r="D362" s="3"/>
      <c r="E362" s="3" t="s">
        <v>775</v>
      </c>
      <c r="F362" s="7" t="s">
        <v>156</v>
      </c>
      <c r="G362" s="4" t="s">
        <v>31</v>
      </c>
      <c r="H362" s="40">
        <f t="shared" si="14"/>
        <v>802</v>
      </c>
      <c r="I362" s="40"/>
      <c r="J362" s="13"/>
    </row>
    <row r="363" spans="1:10" x14ac:dyDescent="0.45">
      <c r="A363" s="5" t="s">
        <v>602</v>
      </c>
      <c r="B363" s="21">
        <v>110501</v>
      </c>
      <c r="C363" s="3" t="s">
        <v>709</v>
      </c>
      <c r="D363" s="3"/>
      <c r="E363" s="3" t="s">
        <v>775</v>
      </c>
      <c r="F363" s="7" t="s">
        <v>156</v>
      </c>
      <c r="G363" s="4" t="s">
        <v>31</v>
      </c>
      <c r="H363" s="40">
        <f t="shared" si="14"/>
        <v>802</v>
      </c>
      <c r="I363" s="40"/>
      <c r="J363" s="13"/>
    </row>
    <row r="364" spans="1:10" x14ac:dyDescent="0.45">
      <c r="A364" s="5" t="s">
        <v>602</v>
      </c>
      <c r="B364" s="21">
        <v>110502</v>
      </c>
      <c r="C364" s="3" t="s">
        <v>709</v>
      </c>
      <c r="D364" s="3"/>
      <c r="E364" s="3" t="s">
        <v>775</v>
      </c>
      <c r="F364" s="7" t="s">
        <v>156</v>
      </c>
      <c r="G364" s="4" t="s">
        <v>31</v>
      </c>
      <c r="H364" s="40">
        <f t="shared" si="14"/>
        <v>802</v>
      </c>
      <c r="I364" s="40"/>
      <c r="J364" s="13"/>
    </row>
    <row r="365" spans="1:10" x14ac:dyDescent="0.45">
      <c r="A365" s="5" t="s">
        <v>602</v>
      </c>
      <c r="B365" s="21">
        <v>110503</v>
      </c>
      <c r="C365" s="3" t="s">
        <v>709</v>
      </c>
      <c r="D365" s="3"/>
      <c r="E365" s="3" t="s">
        <v>775</v>
      </c>
      <c r="F365" s="7" t="s">
        <v>156</v>
      </c>
      <c r="G365" s="4" t="s">
        <v>31</v>
      </c>
      <c r="H365" s="40">
        <f t="shared" si="14"/>
        <v>802</v>
      </c>
      <c r="I365" s="40"/>
      <c r="J365" s="13"/>
    </row>
    <row r="366" spans="1:10" x14ac:dyDescent="0.45">
      <c r="A366" s="5" t="s">
        <v>605</v>
      </c>
      <c r="B366" s="21">
        <v>110504</v>
      </c>
      <c r="C366" s="3" t="s">
        <v>709</v>
      </c>
      <c r="D366" s="3"/>
      <c r="E366" s="3" t="s">
        <v>775</v>
      </c>
      <c r="F366" s="7" t="s">
        <v>606</v>
      </c>
      <c r="G366" s="4" t="s">
        <v>607</v>
      </c>
      <c r="H366" s="40">
        <f t="shared" si="14"/>
        <v>802</v>
      </c>
      <c r="I366" s="40"/>
      <c r="J366" s="13"/>
    </row>
    <row r="367" spans="1:10" x14ac:dyDescent="0.45">
      <c r="A367" s="5" t="s">
        <v>605</v>
      </c>
      <c r="B367" s="21">
        <v>110505</v>
      </c>
      <c r="C367" s="3" t="s">
        <v>709</v>
      </c>
      <c r="D367" s="3"/>
      <c r="E367" s="3" t="s">
        <v>775</v>
      </c>
      <c r="F367" s="7" t="s">
        <v>157</v>
      </c>
      <c r="G367" s="4" t="s">
        <v>158</v>
      </c>
      <c r="H367" s="40">
        <f t="shared" si="14"/>
        <v>802</v>
      </c>
      <c r="I367" s="40"/>
      <c r="J367" s="13"/>
    </row>
    <row r="368" spans="1:10" x14ac:dyDescent="0.45">
      <c r="A368" s="5" t="s">
        <v>605</v>
      </c>
      <c r="B368" s="21">
        <v>110506</v>
      </c>
      <c r="C368" s="3" t="s">
        <v>709</v>
      </c>
      <c r="D368" s="3"/>
      <c r="E368" s="3" t="s">
        <v>775</v>
      </c>
      <c r="F368" s="7" t="s">
        <v>597</v>
      </c>
      <c r="G368" s="4" t="s">
        <v>598</v>
      </c>
      <c r="H368" s="40">
        <f t="shared" si="14"/>
        <v>802</v>
      </c>
      <c r="I368" s="40"/>
      <c r="J368" s="13"/>
    </row>
    <row r="369" spans="1:10" x14ac:dyDescent="0.45">
      <c r="A369" s="5" t="s">
        <v>605</v>
      </c>
      <c r="B369" s="21">
        <v>110508</v>
      </c>
      <c r="C369" s="3" t="s">
        <v>709</v>
      </c>
      <c r="D369" s="3"/>
      <c r="E369" s="3" t="s">
        <v>775</v>
      </c>
      <c r="F369" s="7" t="s">
        <v>11</v>
      </c>
      <c r="G369" s="4" t="s">
        <v>12</v>
      </c>
      <c r="H369" s="40">
        <f t="shared" si="14"/>
        <v>802</v>
      </c>
      <c r="I369" s="40"/>
      <c r="J369" s="13"/>
    </row>
    <row r="370" spans="1:10" x14ac:dyDescent="0.45">
      <c r="A370" s="5" t="s">
        <v>605</v>
      </c>
      <c r="B370" s="21">
        <v>110509</v>
      </c>
      <c r="C370" s="3" t="s">
        <v>709</v>
      </c>
      <c r="D370" s="3"/>
      <c r="E370" s="3" t="s">
        <v>775</v>
      </c>
      <c r="F370" s="7" t="s">
        <v>156</v>
      </c>
      <c r="G370" s="4" t="s">
        <v>31</v>
      </c>
      <c r="H370" s="40">
        <f t="shared" si="14"/>
        <v>802</v>
      </c>
      <c r="I370" s="40"/>
      <c r="J370" s="13"/>
    </row>
    <row r="371" spans="1:10" x14ac:dyDescent="0.45">
      <c r="A371" s="5" t="s">
        <v>608</v>
      </c>
      <c r="B371" s="21">
        <v>110511</v>
      </c>
      <c r="C371" s="3" t="s">
        <v>709</v>
      </c>
      <c r="D371" s="3"/>
      <c r="E371" s="3" t="s">
        <v>775</v>
      </c>
      <c r="F371" s="7" t="s">
        <v>544</v>
      </c>
      <c r="G371" s="4" t="s">
        <v>545</v>
      </c>
      <c r="H371" s="40">
        <f t="shared" si="14"/>
        <v>802</v>
      </c>
      <c r="I371" s="40"/>
      <c r="J371" s="13"/>
    </row>
    <row r="372" spans="1:10" x14ac:dyDescent="0.45">
      <c r="A372" s="5" t="s">
        <v>730</v>
      </c>
      <c r="B372" s="21">
        <v>110513</v>
      </c>
      <c r="C372" s="3" t="s">
        <v>709</v>
      </c>
      <c r="D372" s="3"/>
      <c r="E372" s="3" t="s">
        <v>774</v>
      </c>
      <c r="F372" s="7" t="s">
        <v>599</v>
      </c>
      <c r="G372" s="4" t="s">
        <v>312</v>
      </c>
      <c r="H372" s="40">
        <f t="shared" si="14"/>
        <v>802</v>
      </c>
      <c r="I372" s="40"/>
      <c r="J372" s="13"/>
    </row>
    <row r="373" spans="1:10" x14ac:dyDescent="0.45">
      <c r="A373" s="5" t="s">
        <v>608</v>
      </c>
      <c r="B373" s="21">
        <v>110605</v>
      </c>
      <c r="C373" s="3" t="s">
        <v>709</v>
      </c>
      <c r="D373" s="3"/>
      <c r="E373" s="3" t="s">
        <v>775</v>
      </c>
      <c r="F373" s="7" t="s">
        <v>544</v>
      </c>
      <c r="G373" s="4" t="s">
        <v>545</v>
      </c>
      <c r="H373" s="40">
        <f t="shared" si="14"/>
        <v>802</v>
      </c>
      <c r="I373" s="40"/>
      <c r="J373" s="13"/>
    </row>
    <row r="374" spans="1:10" x14ac:dyDescent="0.45">
      <c r="A374" s="5" t="s">
        <v>609</v>
      </c>
      <c r="B374" s="21">
        <v>110693</v>
      </c>
      <c r="C374" s="3" t="s">
        <v>710</v>
      </c>
      <c r="D374" s="3" t="s">
        <v>713</v>
      </c>
      <c r="E374" s="3" t="s">
        <v>774</v>
      </c>
      <c r="F374" s="7" t="s">
        <v>610</v>
      </c>
      <c r="G374" s="4" t="s">
        <v>611</v>
      </c>
      <c r="H374" s="40">
        <f>HYPERLINK("https://www.nite.go.jp/nbrc/catalogue/NBRCMediumDetailServlet?NO=000001",1)</f>
        <v>1</v>
      </c>
      <c r="I374" s="40"/>
      <c r="J374" s="13"/>
    </row>
    <row r="375" spans="1:10" x14ac:dyDescent="0.45">
      <c r="A375" s="5" t="s">
        <v>731</v>
      </c>
      <c r="B375" s="21">
        <v>110726</v>
      </c>
      <c r="C375" s="3" t="s">
        <v>709</v>
      </c>
      <c r="D375" s="3" t="s">
        <v>713</v>
      </c>
      <c r="E375" s="3" t="s">
        <v>775</v>
      </c>
      <c r="F375" s="7" t="s">
        <v>138</v>
      </c>
      <c r="G375" s="4" t="s">
        <v>80</v>
      </c>
      <c r="H375" s="40">
        <f>HYPERLINK("https://www.nite.go.jp/nbrc/catalogue/NBRCMediumDetailServlet?NO=000802",802)</f>
        <v>802</v>
      </c>
      <c r="I375" s="40"/>
      <c r="J375" s="13"/>
    </row>
    <row r="376" spans="1:10" ht="30" x14ac:dyDescent="0.45">
      <c r="A376" s="5" t="s">
        <v>612</v>
      </c>
      <c r="B376" s="21">
        <v>110783</v>
      </c>
      <c r="C376" s="3" t="s">
        <v>709</v>
      </c>
      <c r="D376" s="3" t="s">
        <v>713</v>
      </c>
      <c r="E376" s="3"/>
      <c r="F376" s="7" t="s">
        <v>157</v>
      </c>
      <c r="G376" s="4" t="s">
        <v>158</v>
      </c>
      <c r="H376" s="40">
        <f>HYPERLINK("https://www.nite.go.jp/nbrc/catalogue/NBRCMediumDetailServlet?NO=000253",253)</f>
        <v>253</v>
      </c>
      <c r="I376" s="40">
        <f>HYPERLINK("https://www.nite.go.jp/nbrc/catalogue/NBRCMediumDetailServlet?NO=000230",230)</f>
        <v>230</v>
      </c>
      <c r="J376" s="13" t="s">
        <v>779</v>
      </c>
    </row>
    <row r="377" spans="1:10" x14ac:dyDescent="0.45">
      <c r="A377" s="5" t="s">
        <v>613</v>
      </c>
      <c r="B377" s="21">
        <v>110787</v>
      </c>
      <c r="C377" s="3" t="s">
        <v>709</v>
      </c>
      <c r="D377" s="3" t="s">
        <v>713</v>
      </c>
      <c r="E377" s="3"/>
      <c r="F377" s="7" t="s">
        <v>157</v>
      </c>
      <c r="G377" s="4" t="s">
        <v>158</v>
      </c>
      <c r="H377" s="40">
        <f>HYPERLINK("https://www.nite.go.jp/nbrc/catalogue/NBRCMediumDetailServlet?NO=000802",802)</f>
        <v>802</v>
      </c>
      <c r="I377" s="40"/>
      <c r="J377" s="13"/>
    </row>
    <row r="378" spans="1:10" x14ac:dyDescent="0.45">
      <c r="A378" s="5" t="s">
        <v>614</v>
      </c>
      <c r="B378" s="21">
        <v>110944</v>
      </c>
      <c r="C378" s="3" t="s">
        <v>709</v>
      </c>
      <c r="D378" s="3" t="s">
        <v>713</v>
      </c>
      <c r="E378" s="3" t="s">
        <v>774</v>
      </c>
      <c r="F378" s="7" t="s">
        <v>615</v>
      </c>
      <c r="G378" s="4" t="s">
        <v>616</v>
      </c>
      <c r="H378" s="40">
        <f>HYPERLINK("https://www.nite.go.jp/nbrc/catalogue/NBRCMediumDetailServlet?NO=001366",1366)</f>
        <v>1366</v>
      </c>
      <c r="I378" s="40">
        <f>HYPERLINK("https://www.nite.go.jp/nbrc/catalogue/NBRCMediumDetailServlet?NO=001367",1367)</f>
        <v>1367</v>
      </c>
      <c r="J378" s="13" t="s">
        <v>765</v>
      </c>
    </row>
    <row r="379" spans="1:10" x14ac:dyDescent="0.45">
      <c r="A379" s="5" t="s">
        <v>617</v>
      </c>
      <c r="B379" s="21">
        <v>110945</v>
      </c>
      <c r="C379" s="3" t="s">
        <v>709</v>
      </c>
      <c r="D379" s="3" t="s">
        <v>713</v>
      </c>
      <c r="E379" s="3" t="s">
        <v>774</v>
      </c>
      <c r="F379" s="7" t="s">
        <v>615</v>
      </c>
      <c r="G379" s="4" t="s">
        <v>616</v>
      </c>
      <c r="H379" s="40">
        <f>HYPERLINK("https://www.nite.go.jp/nbrc/catalogue/NBRCMediumDetailServlet?NO=001363",1363)</f>
        <v>1363</v>
      </c>
      <c r="I379" s="40">
        <f>HYPERLINK("https://www.nite.go.jp/nbrc/catalogue/NBRCMediumDetailServlet?NO=001365",1365)</f>
        <v>1365</v>
      </c>
      <c r="J379" s="13" t="s">
        <v>765</v>
      </c>
    </row>
    <row r="380" spans="1:10" x14ac:dyDescent="0.45">
      <c r="A380" s="5" t="s">
        <v>741</v>
      </c>
      <c r="B380" s="21">
        <v>111117</v>
      </c>
      <c r="C380" s="3" t="s">
        <v>709</v>
      </c>
      <c r="D380" s="3"/>
      <c r="E380" s="3" t="s">
        <v>774</v>
      </c>
      <c r="F380" s="7" t="s">
        <v>419</v>
      </c>
      <c r="G380" s="4" t="s">
        <v>355</v>
      </c>
      <c r="H380" s="40">
        <f t="shared" ref="H380:H403" si="15">HYPERLINK("https://www.nite.go.jp/nbrc/catalogue/NBRCMediumDetailServlet?NO=000802",802)</f>
        <v>802</v>
      </c>
      <c r="I380" s="40"/>
      <c r="J380" s="13"/>
    </row>
    <row r="381" spans="1:10" x14ac:dyDescent="0.45">
      <c r="A381" s="5" t="s">
        <v>741</v>
      </c>
      <c r="B381" s="21">
        <v>111118</v>
      </c>
      <c r="C381" s="3" t="s">
        <v>709</v>
      </c>
      <c r="D381" s="3"/>
      <c r="E381" s="3" t="s">
        <v>774</v>
      </c>
      <c r="F381" s="7" t="s">
        <v>419</v>
      </c>
      <c r="G381" s="4" t="s">
        <v>355</v>
      </c>
      <c r="H381" s="40">
        <f t="shared" si="15"/>
        <v>802</v>
      </c>
      <c r="I381" s="40"/>
      <c r="J381" s="13"/>
    </row>
    <row r="382" spans="1:10" x14ac:dyDescent="0.45">
      <c r="A382" s="5" t="s">
        <v>741</v>
      </c>
      <c r="B382" s="21">
        <v>111119</v>
      </c>
      <c r="C382" s="3" t="s">
        <v>709</v>
      </c>
      <c r="D382" s="3"/>
      <c r="E382" s="3" t="s">
        <v>774</v>
      </c>
      <c r="F382" s="7" t="s">
        <v>599</v>
      </c>
      <c r="G382" s="4" t="s">
        <v>312</v>
      </c>
      <c r="H382" s="40">
        <f t="shared" si="15"/>
        <v>802</v>
      </c>
      <c r="I382" s="40"/>
      <c r="J382" s="13"/>
    </row>
    <row r="383" spans="1:10" x14ac:dyDescent="0.45">
      <c r="A383" s="5" t="s">
        <v>741</v>
      </c>
      <c r="B383" s="21">
        <v>111120</v>
      </c>
      <c r="C383" s="3" t="s">
        <v>709</v>
      </c>
      <c r="D383" s="3"/>
      <c r="E383" s="3" t="s">
        <v>774</v>
      </c>
      <c r="F383" s="7" t="s">
        <v>599</v>
      </c>
      <c r="G383" s="4" t="s">
        <v>312</v>
      </c>
      <c r="H383" s="40">
        <f t="shared" si="15"/>
        <v>802</v>
      </c>
      <c r="I383" s="40"/>
      <c r="J383" s="13"/>
    </row>
    <row r="384" spans="1:10" x14ac:dyDescent="0.45">
      <c r="A384" s="5" t="s">
        <v>741</v>
      </c>
      <c r="B384" s="21">
        <v>111121</v>
      </c>
      <c r="C384" s="3" t="s">
        <v>709</v>
      </c>
      <c r="D384" s="3"/>
      <c r="E384" s="3" t="s">
        <v>774</v>
      </c>
      <c r="F384" s="7" t="s">
        <v>156</v>
      </c>
      <c r="G384" s="4" t="s">
        <v>31</v>
      </c>
      <c r="H384" s="40">
        <f t="shared" si="15"/>
        <v>802</v>
      </c>
      <c r="I384" s="40"/>
      <c r="J384" s="13"/>
    </row>
    <row r="385" spans="1:10" x14ac:dyDescent="0.45">
      <c r="A385" s="5" t="s">
        <v>741</v>
      </c>
      <c r="B385" s="21">
        <v>111122</v>
      </c>
      <c r="C385" s="3" t="s">
        <v>709</v>
      </c>
      <c r="D385" s="3"/>
      <c r="E385" s="3" t="s">
        <v>774</v>
      </c>
      <c r="F385" s="7" t="s">
        <v>419</v>
      </c>
      <c r="G385" s="4" t="s">
        <v>355</v>
      </c>
      <c r="H385" s="40">
        <f t="shared" si="15"/>
        <v>802</v>
      </c>
      <c r="I385" s="40"/>
      <c r="J385" s="13"/>
    </row>
    <row r="386" spans="1:10" x14ac:dyDescent="0.45">
      <c r="A386" s="5" t="s">
        <v>741</v>
      </c>
      <c r="B386" s="21">
        <v>111123</v>
      </c>
      <c r="C386" s="3" t="s">
        <v>709</v>
      </c>
      <c r="D386" s="3"/>
      <c r="E386" s="3" t="s">
        <v>774</v>
      </c>
      <c r="F386" s="7" t="s">
        <v>419</v>
      </c>
      <c r="G386" s="4" t="s">
        <v>355</v>
      </c>
      <c r="H386" s="40">
        <f t="shared" si="15"/>
        <v>802</v>
      </c>
      <c r="I386" s="40"/>
      <c r="J386" s="13"/>
    </row>
    <row r="387" spans="1:10" x14ac:dyDescent="0.45">
      <c r="A387" s="5" t="s">
        <v>741</v>
      </c>
      <c r="B387" s="21">
        <v>111124</v>
      </c>
      <c r="C387" s="3" t="s">
        <v>709</v>
      </c>
      <c r="D387" s="3"/>
      <c r="E387" s="3" t="s">
        <v>774</v>
      </c>
      <c r="F387" s="7" t="s">
        <v>419</v>
      </c>
      <c r="G387" s="4" t="s">
        <v>355</v>
      </c>
      <c r="H387" s="40">
        <f t="shared" si="15"/>
        <v>802</v>
      </c>
      <c r="I387" s="40"/>
      <c r="J387" s="13"/>
    </row>
    <row r="388" spans="1:10" x14ac:dyDescent="0.45">
      <c r="A388" s="5" t="s">
        <v>741</v>
      </c>
      <c r="B388" s="21">
        <v>111125</v>
      </c>
      <c r="C388" s="3" t="s">
        <v>709</v>
      </c>
      <c r="D388" s="3"/>
      <c r="E388" s="3" t="s">
        <v>774</v>
      </c>
      <c r="F388" s="7" t="s">
        <v>599</v>
      </c>
      <c r="G388" s="4" t="s">
        <v>312</v>
      </c>
      <c r="H388" s="40">
        <f t="shared" si="15"/>
        <v>802</v>
      </c>
      <c r="I388" s="40"/>
      <c r="J388" s="13"/>
    </row>
    <row r="389" spans="1:10" x14ac:dyDescent="0.45">
      <c r="A389" s="5" t="s">
        <v>741</v>
      </c>
      <c r="B389" s="21">
        <v>111126</v>
      </c>
      <c r="C389" s="3" t="s">
        <v>709</v>
      </c>
      <c r="D389" s="3"/>
      <c r="E389" s="3" t="s">
        <v>774</v>
      </c>
      <c r="F389" s="7" t="s">
        <v>599</v>
      </c>
      <c r="G389" s="4" t="s">
        <v>312</v>
      </c>
      <c r="H389" s="40">
        <f t="shared" si="15"/>
        <v>802</v>
      </c>
      <c r="I389" s="40"/>
      <c r="J389" s="13"/>
    </row>
    <row r="390" spans="1:10" x14ac:dyDescent="0.45">
      <c r="A390" s="5" t="s">
        <v>741</v>
      </c>
      <c r="B390" s="21">
        <v>111127</v>
      </c>
      <c r="C390" s="3" t="s">
        <v>709</v>
      </c>
      <c r="D390" s="3"/>
      <c r="E390" s="3" t="s">
        <v>774</v>
      </c>
      <c r="F390" s="7" t="s">
        <v>599</v>
      </c>
      <c r="G390" s="4" t="s">
        <v>312</v>
      </c>
      <c r="H390" s="40">
        <f t="shared" si="15"/>
        <v>802</v>
      </c>
      <c r="I390" s="40"/>
      <c r="J390" s="13"/>
    </row>
    <row r="391" spans="1:10" x14ac:dyDescent="0.45">
      <c r="A391" s="5" t="s">
        <v>741</v>
      </c>
      <c r="B391" s="21">
        <v>111128</v>
      </c>
      <c r="C391" s="3" t="s">
        <v>709</v>
      </c>
      <c r="D391" s="3"/>
      <c r="E391" s="3" t="s">
        <v>774</v>
      </c>
      <c r="F391" s="7" t="s">
        <v>618</v>
      </c>
      <c r="G391" s="4" t="s">
        <v>619</v>
      </c>
      <c r="H391" s="40">
        <f t="shared" si="15"/>
        <v>802</v>
      </c>
      <c r="I391" s="40"/>
      <c r="J391" s="13"/>
    </row>
    <row r="392" spans="1:10" x14ac:dyDescent="0.45">
      <c r="A392" s="5" t="s">
        <v>741</v>
      </c>
      <c r="B392" s="21">
        <v>111129</v>
      </c>
      <c r="C392" s="3" t="s">
        <v>709</v>
      </c>
      <c r="D392" s="3"/>
      <c r="E392" s="3" t="s">
        <v>774</v>
      </c>
      <c r="F392" s="7" t="s">
        <v>599</v>
      </c>
      <c r="G392" s="4" t="s">
        <v>312</v>
      </c>
      <c r="H392" s="40">
        <f t="shared" si="15"/>
        <v>802</v>
      </c>
      <c r="I392" s="40"/>
      <c r="J392" s="13"/>
    </row>
    <row r="393" spans="1:10" x14ac:dyDescent="0.45">
      <c r="A393" s="5" t="s">
        <v>741</v>
      </c>
      <c r="B393" s="21">
        <v>111130</v>
      </c>
      <c r="C393" s="3" t="s">
        <v>709</v>
      </c>
      <c r="D393" s="3"/>
      <c r="E393" s="3" t="s">
        <v>774</v>
      </c>
      <c r="F393" s="7" t="s">
        <v>156</v>
      </c>
      <c r="G393" s="4" t="s">
        <v>31</v>
      </c>
      <c r="H393" s="40">
        <f t="shared" si="15"/>
        <v>802</v>
      </c>
      <c r="I393" s="40"/>
      <c r="J393" s="13"/>
    </row>
    <row r="394" spans="1:10" x14ac:dyDescent="0.45">
      <c r="A394" s="5" t="s">
        <v>741</v>
      </c>
      <c r="B394" s="21">
        <v>111131</v>
      </c>
      <c r="C394" s="3" t="s">
        <v>709</v>
      </c>
      <c r="D394" s="3"/>
      <c r="E394" s="3" t="s">
        <v>774</v>
      </c>
      <c r="F394" s="7" t="s">
        <v>620</v>
      </c>
      <c r="G394" s="4" t="s">
        <v>621</v>
      </c>
      <c r="H394" s="40">
        <f t="shared" si="15"/>
        <v>802</v>
      </c>
      <c r="I394" s="40"/>
      <c r="J394" s="13"/>
    </row>
    <row r="395" spans="1:10" x14ac:dyDescent="0.45">
      <c r="A395" s="5" t="s">
        <v>741</v>
      </c>
      <c r="B395" s="21">
        <v>111133</v>
      </c>
      <c r="C395" s="3" t="s">
        <v>709</v>
      </c>
      <c r="D395" s="3"/>
      <c r="E395" s="3" t="s">
        <v>774</v>
      </c>
      <c r="F395" s="7" t="s">
        <v>599</v>
      </c>
      <c r="G395" s="4" t="s">
        <v>312</v>
      </c>
      <c r="H395" s="40">
        <f t="shared" si="15"/>
        <v>802</v>
      </c>
      <c r="I395" s="40"/>
      <c r="J395" s="13"/>
    </row>
    <row r="396" spans="1:10" x14ac:dyDescent="0.45">
      <c r="A396" s="5" t="s">
        <v>741</v>
      </c>
      <c r="B396" s="21">
        <v>111136</v>
      </c>
      <c r="C396" s="3" t="s">
        <v>709</v>
      </c>
      <c r="D396" s="3"/>
      <c r="E396" s="3" t="s">
        <v>774</v>
      </c>
      <c r="F396" s="7" t="s">
        <v>599</v>
      </c>
      <c r="G396" s="4" t="s">
        <v>312</v>
      </c>
      <c r="H396" s="40">
        <f t="shared" si="15"/>
        <v>802</v>
      </c>
      <c r="I396" s="40"/>
      <c r="J396" s="13"/>
    </row>
    <row r="397" spans="1:10" x14ac:dyDescent="0.45">
      <c r="A397" s="5" t="s">
        <v>741</v>
      </c>
      <c r="B397" s="21">
        <v>111137</v>
      </c>
      <c r="C397" s="3" t="s">
        <v>709</v>
      </c>
      <c r="D397" s="3"/>
      <c r="E397" s="3" t="s">
        <v>774</v>
      </c>
      <c r="F397" s="7" t="s">
        <v>156</v>
      </c>
      <c r="G397" s="4" t="s">
        <v>31</v>
      </c>
      <c r="H397" s="40">
        <f t="shared" si="15"/>
        <v>802</v>
      </c>
      <c r="I397" s="40"/>
      <c r="J397" s="13"/>
    </row>
    <row r="398" spans="1:10" x14ac:dyDescent="0.45">
      <c r="A398" s="5" t="s">
        <v>741</v>
      </c>
      <c r="B398" s="21">
        <v>111139</v>
      </c>
      <c r="C398" s="3" t="s">
        <v>709</v>
      </c>
      <c r="D398" s="3"/>
      <c r="E398" s="3" t="s">
        <v>774</v>
      </c>
      <c r="F398" s="7" t="s">
        <v>622</v>
      </c>
      <c r="G398" s="4" t="s">
        <v>623</v>
      </c>
      <c r="H398" s="40">
        <f t="shared" si="15"/>
        <v>802</v>
      </c>
      <c r="I398" s="40"/>
      <c r="J398" s="13"/>
    </row>
    <row r="399" spans="1:10" x14ac:dyDescent="0.45">
      <c r="A399" s="5" t="s">
        <v>741</v>
      </c>
      <c r="B399" s="21">
        <v>111140</v>
      </c>
      <c r="C399" s="3" t="s">
        <v>709</v>
      </c>
      <c r="D399" s="3"/>
      <c r="E399" s="3" t="s">
        <v>774</v>
      </c>
      <c r="F399" s="7" t="s">
        <v>156</v>
      </c>
      <c r="G399" s="4" t="s">
        <v>31</v>
      </c>
      <c r="H399" s="40">
        <f t="shared" si="15"/>
        <v>802</v>
      </c>
      <c r="I399" s="40"/>
      <c r="J399" s="13"/>
    </row>
    <row r="400" spans="1:10" x14ac:dyDescent="0.45">
      <c r="A400" s="5" t="s">
        <v>741</v>
      </c>
      <c r="B400" s="21">
        <v>111141</v>
      </c>
      <c r="C400" s="3" t="s">
        <v>709</v>
      </c>
      <c r="D400" s="3"/>
      <c r="E400" s="3" t="s">
        <v>774</v>
      </c>
      <c r="F400" s="7" t="s">
        <v>615</v>
      </c>
      <c r="G400" s="4" t="s">
        <v>616</v>
      </c>
      <c r="H400" s="40">
        <f t="shared" si="15"/>
        <v>802</v>
      </c>
      <c r="I400" s="40"/>
      <c r="J400" s="13"/>
    </row>
    <row r="401" spans="1:10" x14ac:dyDescent="0.45">
      <c r="A401" s="5" t="s">
        <v>741</v>
      </c>
      <c r="B401" s="21">
        <v>111142</v>
      </c>
      <c r="C401" s="3" t="s">
        <v>709</v>
      </c>
      <c r="D401" s="3"/>
      <c r="E401" s="3" t="s">
        <v>774</v>
      </c>
      <c r="F401" s="7" t="s">
        <v>599</v>
      </c>
      <c r="G401" s="4" t="s">
        <v>312</v>
      </c>
      <c r="H401" s="40">
        <f t="shared" si="15"/>
        <v>802</v>
      </c>
      <c r="I401" s="40"/>
      <c r="J401" s="13"/>
    </row>
    <row r="402" spans="1:10" x14ac:dyDescent="0.45">
      <c r="A402" s="5" t="s">
        <v>741</v>
      </c>
      <c r="B402" s="21">
        <v>111143</v>
      </c>
      <c r="C402" s="3" t="s">
        <v>709</v>
      </c>
      <c r="D402" s="3"/>
      <c r="E402" s="3" t="s">
        <v>774</v>
      </c>
      <c r="F402" s="7" t="s">
        <v>599</v>
      </c>
      <c r="G402" s="4" t="s">
        <v>312</v>
      </c>
      <c r="H402" s="40">
        <f t="shared" si="15"/>
        <v>802</v>
      </c>
      <c r="I402" s="40"/>
      <c r="J402" s="13"/>
    </row>
    <row r="403" spans="1:10" x14ac:dyDescent="0.45">
      <c r="A403" s="5" t="s">
        <v>741</v>
      </c>
      <c r="B403" s="21">
        <v>111144</v>
      </c>
      <c r="C403" s="3" t="s">
        <v>709</v>
      </c>
      <c r="D403" s="3"/>
      <c r="E403" s="3" t="s">
        <v>774</v>
      </c>
      <c r="F403" s="7" t="s">
        <v>419</v>
      </c>
      <c r="G403" s="4" t="s">
        <v>355</v>
      </c>
      <c r="H403" s="40">
        <f t="shared" si="15"/>
        <v>802</v>
      </c>
      <c r="I403" s="40"/>
      <c r="J403" s="13"/>
    </row>
    <row r="404" spans="1:10" x14ac:dyDescent="0.45">
      <c r="A404" s="5" t="s">
        <v>624</v>
      </c>
      <c r="B404" s="21">
        <v>111234</v>
      </c>
      <c r="C404" s="3" t="s">
        <v>709</v>
      </c>
      <c r="D404" s="3" t="s">
        <v>713</v>
      </c>
      <c r="E404" s="3" t="s">
        <v>774</v>
      </c>
      <c r="F404" s="7" t="s">
        <v>625</v>
      </c>
      <c r="G404" s="4" t="s">
        <v>291</v>
      </c>
      <c r="H404" s="40">
        <f>HYPERLINK("https://www.nite.go.jp/nbrc/catalogue/NBRCMediumDetailServlet?NO=000253",253)</f>
        <v>253</v>
      </c>
      <c r="I404" s="40"/>
      <c r="J404" s="13"/>
    </row>
    <row r="405" spans="1:10" x14ac:dyDescent="0.45">
      <c r="A405" s="5" t="s">
        <v>624</v>
      </c>
      <c r="B405" s="21">
        <v>111235</v>
      </c>
      <c r="C405" s="3" t="s">
        <v>709</v>
      </c>
      <c r="D405" s="3"/>
      <c r="E405" s="3" t="s">
        <v>774</v>
      </c>
      <c r="F405" s="7" t="s">
        <v>626</v>
      </c>
      <c r="G405" s="4" t="s">
        <v>627</v>
      </c>
      <c r="H405" s="40">
        <f>HYPERLINK("https://www.nite.go.jp/nbrc/catalogue/NBRCMediumDetailServlet?NO=000253",253)</f>
        <v>253</v>
      </c>
      <c r="I405" s="40"/>
      <c r="J405" s="13"/>
    </row>
    <row r="406" spans="1:10" x14ac:dyDescent="0.45">
      <c r="A406" s="5" t="s">
        <v>628</v>
      </c>
      <c r="B406" s="21">
        <v>111460</v>
      </c>
      <c r="C406" s="3" t="s">
        <v>709</v>
      </c>
      <c r="D406" s="3" t="s">
        <v>713</v>
      </c>
      <c r="E406" s="3" t="s">
        <v>775</v>
      </c>
      <c r="F406" s="7" t="s">
        <v>629</v>
      </c>
      <c r="G406" s="4" t="s">
        <v>630</v>
      </c>
      <c r="H406" s="40">
        <f>HYPERLINK("https://www.nite.go.jp/nbrc/catalogue/NBRCMediumDetailServlet?NO=000253",253)</f>
        <v>253</v>
      </c>
      <c r="I406" s="40">
        <f>HYPERLINK("https://www.nite.go.jp/nbrc/catalogue/NBRCMediumDetailServlet?NO=000802",802)</f>
        <v>802</v>
      </c>
      <c r="J406" s="13"/>
    </row>
    <row r="407" spans="1:10" x14ac:dyDescent="0.45">
      <c r="A407" s="5" t="s">
        <v>631</v>
      </c>
      <c r="B407" s="21">
        <v>111527</v>
      </c>
      <c r="C407" s="3" t="s">
        <v>709</v>
      </c>
      <c r="D407" s="3"/>
      <c r="E407" s="3"/>
      <c r="F407" s="7" t="s">
        <v>632</v>
      </c>
      <c r="G407" s="4" t="s">
        <v>633</v>
      </c>
      <c r="H407" s="40">
        <f>HYPERLINK("https://www.nite.go.jp/nbrc/catalogue/NBRCMediumDetailServlet?NO=000802",802)</f>
        <v>802</v>
      </c>
      <c r="I407" s="40">
        <f>HYPERLINK("https://www.nite.go.jp/nbrc/catalogue/NBRCMediumDetailServlet?NO=000230",230)</f>
        <v>230</v>
      </c>
      <c r="J407" s="13"/>
    </row>
    <row r="408" spans="1:10" x14ac:dyDescent="0.45">
      <c r="A408" s="5" t="s">
        <v>634</v>
      </c>
      <c r="B408" s="21">
        <v>111528</v>
      </c>
      <c r="C408" s="3" t="s">
        <v>709</v>
      </c>
      <c r="D408" s="3"/>
      <c r="E408" s="3"/>
      <c r="F408" s="7" t="s">
        <v>632</v>
      </c>
      <c r="G408" s="4" t="s">
        <v>633</v>
      </c>
      <c r="H408" s="40">
        <f>HYPERLINK("https://www.nite.go.jp/nbrc/catalogue/NBRCMediumDetailServlet?NO=000802",802)</f>
        <v>802</v>
      </c>
      <c r="I408" s="40">
        <f>HYPERLINK("https://www.nite.go.jp/nbrc/catalogue/NBRCMediumDetailServlet?NO=000230",230)</f>
        <v>230</v>
      </c>
      <c r="J408" s="13"/>
    </row>
    <row r="409" spans="1:10" x14ac:dyDescent="0.45">
      <c r="A409" s="5" t="s">
        <v>635</v>
      </c>
      <c r="B409" s="21">
        <v>111529</v>
      </c>
      <c r="C409" s="3" t="s">
        <v>709</v>
      </c>
      <c r="D409" s="3"/>
      <c r="E409" s="3"/>
      <c r="F409" s="7" t="s">
        <v>636</v>
      </c>
      <c r="G409" s="4" t="s">
        <v>637</v>
      </c>
      <c r="H409" s="40">
        <f>HYPERLINK("https://www.nite.go.jp/nbrc/catalogue/NBRCMediumDetailServlet?NO=000802",802)</f>
        <v>802</v>
      </c>
      <c r="I409" s="40">
        <f>HYPERLINK("https://www.nite.go.jp/nbrc/catalogue/NBRCMediumDetailServlet?NO=000230",230)</f>
        <v>230</v>
      </c>
      <c r="J409" s="13"/>
    </row>
    <row r="410" spans="1:10" x14ac:dyDescent="0.45">
      <c r="A410" s="5" t="s">
        <v>946</v>
      </c>
      <c r="B410" s="21">
        <v>111530</v>
      </c>
      <c r="C410" s="3" t="s">
        <v>709</v>
      </c>
      <c r="D410" s="3"/>
      <c r="E410" s="3" t="s">
        <v>775</v>
      </c>
      <c r="F410" s="7" t="s">
        <v>638</v>
      </c>
      <c r="G410" s="4" t="s">
        <v>524</v>
      </c>
      <c r="H410" s="40">
        <f>HYPERLINK("https://www.nite.go.jp/nbrc/catalogue/NBRCMediumDetailServlet?NO=000312",312)</f>
        <v>312</v>
      </c>
      <c r="I410" s="40"/>
      <c r="J410" s="13" t="s">
        <v>765</v>
      </c>
    </row>
    <row r="411" spans="1:10" x14ac:dyDescent="0.45">
      <c r="A411" s="5" t="s">
        <v>639</v>
      </c>
      <c r="B411" s="21">
        <v>111531</v>
      </c>
      <c r="C411" s="3" t="s">
        <v>709</v>
      </c>
      <c r="D411" s="3"/>
      <c r="E411" s="3" t="s">
        <v>775</v>
      </c>
      <c r="F411" s="7" t="s">
        <v>636</v>
      </c>
      <c r="G411" s="4" t="s">
        <v>637</v>
      </c>
      <c r="H411" s="40">
        <f>HYPERLINK("https://www.nite.go.jp/nbrc/catalogue/NBRCMediumDetailServlet?NO=000312",312)</f>
        <v>312</v>
      </c>
      <c r="I411" s="40"/>
      <c r="J411" s="13" t="s">
        <v>765</v>
      </c>
    </row>
    <row r="412" spans="1:10" x14ac:dyDescent="0.45">
      <c r="A412" s="5" t="s">
        <v>640</v>
      </c>
      <c r="B412" s="21">
        <v>111624</v>
      </c>
      <c r="C412" s="3" t="s">
        <v>710</v>
      </c>
      <c r="D412" s="3"/>
      <c r="E412" s="3"/>
      <c r="F412" s="7" t="s">
        <v>641</v>
      </c>
      <c r="G412" s="4" t="s">
        <v>642</v>
      </c>
      <c r="H412" s="40">
        <f>HYPERLINK("https://www.nite.go.jp/nbrc/catalogue/NBRCMediumDetailServlet?NO=000001",1)</f>
        <v>1</v>
      </c>
      <c r="I412" s="40">
        <f>HYPERLINK("https://www.nite.go.jp/nbrc/catalogue/NBRCMediumDetailServlet?NO=000006",6)</f>
        <v>6</v>
      </c>
      <c r="J412" s="13"/>
    </row>
    <row r="413" spans="1:10" ht="30" x14ac:dyDescent="0.45">
      <c r="A413" s="5" t="s">
        <v>945</v>
      </c>
      <c r="B413" s="21">
        <v>111693</v>
      </c>
      <c r="C413" s="3" t="s">
        <v>709</v>
      </c>
      <c r="D413" s="3"/>
      <c r="E413" s="3"/>
      <c r="F413" s="7" t="s">
        <v>643</v>
      </c>
      <c r="G413" s="4" t="s">
        <v>644</v>
      </c>
      <c r="H413" s="40">
        <f>HYPERLINK("https://www.nite.go.jp/nbrc/catalogue/NBRCMediumDetailServlet?NO=000310",310)</f>
        <v>310</v>
      </c>
      <c r="I413" s="40"/>
      <c r="J413" s="13" t="s">
        <v>779</v>
      </c>
    </row>
    <row r="414" spans="1:10" ht="30" x14ac:dyDescent="0.45">
      <c r="A414" s="5" t="s">
        <v>739</v>
      </c>
      <c r="B414" s="21">
        <v>111901</v>
      </c>
      <c r="C414" s="3" t="s">
        <v>709</v>
      </c>
      <c r="D414" s="3"/>
      <c r="E414" s="3" t="s">
        <v>774</v>
      </c>
      <c r="F414" s="7" t="s">
        <v>645</v>
      </c>
      <c r="G414" s="4" t="s">
        <v>536</v>
      </c>
      <c r="H414" s="40">
        <f>HYPERLINK("https://www.nite.go.jp/nbrc/catalogue/NBRCMediumDetailServlet?NO=000814",814)</f>
        <v>814</v>
      </c>
      <c r="I414" s="40">
        <f>HYPERLINK("https://www.nite.go.jp/nbrc/catalogue/NBRCMediumDetailServlet?NO=000347",347)</f>
        <v>347</v>
      </c>
      <c r="J414" s="13" t="s">
        <v>779</v>
      </c>
    </row>
    <row r="415" spans="1:10" ht="30" x14ac:dyDescent="0.45">
      <c r="A415" s="5" t="s">
        <v>739</v>
      </c>
      <c r="B415" s="21">
        <v>112295</v>
      </c>
      <c r="C415" s="3" t="s">
        <v>709</v>
      </c>
      <c r="D415" s="3"/>
      <c r="E415" s="3" t="s">
        <v>774</v>
      </c>
      <c r="F415" s="7" t="s">
        <v>756</v>
      </c>
      <c r="G415" s="4" t="s">
        <v>536</v>
      </c>
      <c r="H415" s="40">
        <f>HYPERLINK("https://www.nite.go.jp/nbrc/catalogue/NBRCMediumDetailServlet?NO=000814",814)</f>
        <v>814</v>
      </c>
      <c r="I415" s="40"/>
      <c r="J415" s="13" t="s">
        <v>779</v>
      </c>
    </row>
    <row r="416" spans="1:10" x14ac:dyDescent="0.45">
      <c r="A416" s="5" t="s">
        <v>646</v>
      </c>
      <c r="B416" s="21">
        <v>112579</v>
      </c>
      <c r="C416" s="3" t="s">
        <v>709</v>
      </c>
      <c r="D416" s="3" t="s">
        <v>713</v>
      </c>
      <c r="E416" s="3"/>
      <c r="F416" s="7" t="s">
        <v>293</v>
      </c>
      <c r="G416" s="4" t="s">
        <v>201</v>
      </c>
      <c r="H416" s="40">
        <f t="shared" ref="H416:H426" si="16">HYPERLINK("https://www.nite.go.jp/nbrc/catalogue/NBRCMediumDetailServlet?NO=000802",802)</f>
        <v>802</v>
      </c>
      <c r="I416" s="40"/>
      <c r="J416" s="13"/>
    </row>
    <row r="417" spans="1:10" x14ac:dyDescent="0.45">
      <c r="A417" s="5" t="s">
        <v>647</v>
      </c>
      <c r="B417" s="21">
        <v>112581</v>
      </c>
      <c r="C417" s="3" t="s">
        <v>709</v>
      </c>
      <c r="D417" s="3" t="s">
        <v>713</v>
      </c>
      <c r="E417" s="3"/>
      <c r="F417" s="7" t="s">
        <v>599</v>
      </c>
      <c r="G417" s="4" t="s">
        <v>312</v>
      </c>
      <c r="H417" s="40">
        <f t="shared" si="16"/>
        <v>802</v>
      </c>
      <c r="I417" s="40"/>
      <c r="J417" s="13"/>
    </row>
    <row r="418" spans="1:10" x14ac:dyDescent="0.45">
      <c r="A418" s="5" t="s">
        <v>648</v>
      </c>
      <c r="B418" s="21">
        <v>112582</v>
      </c>
      <c r="C418" s="3" t="s">
        <v>709</v>
      </c>
      <c r="D418" s="3" t="s">
        <v>713</v>
      </c>
      <c r="E418" s="3" t="s">
        <v>775</v>
      </c>
      <c r="F418" s="7" t="s">
        <v>757</v>
      </c>
      <c r="G418" s="4" t="s">
        <v>649</v>
      </c>
      <c r="H418" s="40">
        <f t="shared" si="16"/>
        <v>802</v>
      </c>
      <c r="I418" s="40"/>
      <c r="J418" s="13"/>
    </row>
    <row r="419" spans="1:10" x14ac:dyDescent="0.45">
      <c r="A419" s="5" t="s">
        <v>650</v>
      </c>
      <c r="B419" s="21">
        <v>112583</v>
      </c>
      <c r="C419" s="3" t="s">
        <v>709</v>
      </c>
      <c r="D419" s="3" t="s">
        <v>713</v>
      </c>
      <c r="E419" s="3" t="s">
        <v>775</v>
      </c>
      <c r="F419" s="7" t="s">
        <v>651</v>
      </c>
      <c r="G419" s="4" t="s">
        <v>652</v>
      </c>
      <c r="H419" s="40">
        <f t="shared" si="16"/>
        <v>802</v>
      </c>
      <c r="I419" s="40"/>
      <c r="J419" s="13"/>
    </row>
    <row r="420" spans="1:10" x14ac:dyDescent="0.45">
      <c r="A420" s="5" t="s">
        <v>608</v>
      </c>
      <c r="B420" s="21">
        <v>112584</v>
      </c>
      <c r="C420" s="3" t="s">
        <v>709</v>
      </c>
      <c r="D420" s="3" t="s">
        <v>713</v>
      </c>
      <c r="E420" s="3" t="s">
        <v>775</v>
      </c>
      <c r="F420" s="7" t="s">
        <v>653</v>
      </c>
      <c r="G420" s="4" t="s">
        <v>475</v>
      </c>
      <c r="H420" s="40">
        <f t="shared" si="16"/>
        <v>802</v>
      </c>
      <c r="I420" s="40"/>
      <c r="J420" s="13"/>
    </row>
    <row r="421" spans="1:10" x14ac:dyDescent="0.45">
      <c r="A421" s="5" t="s">
        <v>596</v>
      </c>
      <c r="B421" s="21">
        <v>112586</v>
      </c>
      <c r="C421" s="3" t="s">
        <v>709</v>
      </c>
      <c r="D421" s="3"/>
      <c r="E421" s="3" t="s">
        <v>774</v>
      </c>
      <c r="F421" s="7" t="s">
        <v>599</v>
      </c>
      <c r="G421" s="4" t="s">
        <v>312</v>
      </c>
      <c r="H421" s="40">
        <f t="shared" si="16"/>
        <v>802</v>
      </c>
      <c r="I421" s="40"/>
      <c r="J421" s="13"/>
    </row>
    <row r="422" spans="1:10" x14ac:dyDescent="0.45">
      <c r="A422" s="5" t="s">
        <v>596</v>
      </c>
      <c r="B422" s="21">
        <v>112587</v>
      </c>
      <c r="C422" s="3" t="s">
        <v>709</v>
      </c>
      <c r="D422" s="3"/>
      <c r="E422" s="3" t="s">
        <v>774</v>
      </c>
      <c r="F422" s="7" t="s">
        <v>597</v>
      </c>
      <c r="G422" s="4" t="s">
        <v>598</v>
      </c>
      <c r="H422" s="40">
        <f t="shared" si="16"/>
        <v>802</v>
      </c>
      <c r="I422" s="40"/>
      <c r="J422" s="13"/>
    </row>
    <row r="423" spans="1:10" x14ac:dyDescent="0.45">
      <c r="A423" s="5" t="s">
        <v>596</v>
      </c>
      <c r="B423" s="21">
        <v>112588</v>
      </c>
      <c r="C423" s="3" t="s">
        <v>709</v>
      </c>
      <c r="D423" s="3"/>
      <c r="E423" s="3" t="s">
        <v>774</v>
      </c>
      <c r="F423" s="7" t="s">
        <v>600</v>
      </c>
      <c r="G423" s="4" t="s">
        <v>601</v>
      </c>
      <c r="H423" s="40">
        <f t="shared" si="16"/>
        <v>802</v>
      </c>
      <c r="I423" s="40"/>
      <c r="J423" s="13"/>
    </row>
    <row r="424" spans="1:10" x14ac:dyDescent="0.45">
      <c r="A424" s="5" t="s">
        <v>596</v>
      </c>
      <c r="B424" s="21">
        <v>112589</v>
      </c>
      <c r="C424" s="3" t="s">
        <v>709</v>
      </c>
      <c r="D424" s="3"/>
      <c r="E424" s="3" t="s">
        <v>774</v>
      </c>
      <c r="F424" s="7" t="s">
        <v>600</v>
      </c>
      <c r="G424" s="4" t="s">
        <v>601</v>
      </c>
      <c r="H424" s="40">
        <f t="shared" si="16"/>
        <v>802</v>
      </c>
      <c r="I424" s="40"/>
      <c r="J424" s="13"/>
    </row>
    <row r="425" spans="1:10" x14ac:dyDescent="0.45">
      <c r="A425" s="5" t="s">
        <v>596</v>
      </c>
      <c r="B425" s="21">
        <v>112590</v>
      </c>
      <c r="C425" s="3" t="s">
        <v>709</v>
      </c>
      <c r="D425" s="3"/>
      <c r="E425" s="3" t="s">
        <v>774</v>
      </c>
      <c r="F425" s="7" t="s">
        <v>597</v>
      </c>
      <c r="G425" s="4" t="s">
        <v>598</v>
      </c>
      <c r="H425" s="40">
        <f t="shared" si="16"/>
        <v>802</v>
      </c>
      <c r="I425" s="40"/>
      <c r="J425" s="13"/>
    </row>
    <row r="426" spans="1:10" x14ac:dyDescent="0.45">
      <c r="A426" s="5" t="s">
        <v>596</v>
      </c>
      <c r="B426" s="21">
        <v>112591</v>
      </c>
      <c r="C426" s="3" t="s">
        <v>709</v>
      </c>
      <c r="D426" s="3"/>
      <c r="E426" s="3" t="s">
        <v>774</v>
      </c>
      <c r="F426" s="7" t="s">
        <v>544</v>
      </c>
      <c r="G426" s="4" t="s">
        <v>545</v>
      </c>
      <c r="H426" s="40">
        <f t="shared" si="16"/>
        <v>802</v>
      </c>
      <c r="I426" s="40"/>
      <c r="J426" s="13"/>
    </row>
    <row r="427" spans="1:10" x14ac:dyDescent="0.45">
      <c r="A427" s="5" t="s">
        <v>732</v>
      </c>
      <c r="B427" s="21">
        <v>112747</v>
      </c>
      <c r="C427" s="3" t="s">
        <v>709</v>
      </c>
      <c r="D427" s="3"/>
      <c r="E427" s="3" t="s">
        <v>774</v>
      </c>
      <c r="F427" s="7" t="s">
        <v>654</v>
      </c>
      <c r="G427" s="4" t="s">
        <v>655</v>
      </c>
      <c r="H427" s="40">
        <f>HYPERLINK("https://www.nite.go.jp/nbrc/catalogue/NBRCMediumDetailServlet?NO=001219",1219)</f>
        <v>1219</v>
      </c>
      <c r="I427" s="40">
        <f>HYPERLINK("https://www.nite.go.jp/nbrc/catalogue/NBRCMediumDetailServlet?NO=000347",347)</f>
        <v>347</v>
      </c>
      <c r="J427" s="13"/>
    </row>
    <row r="428" spans="1:10" x14ac:dyDescent="0.45">
      <c r="A428" s="5" t="s">
        <v>733</v>
      </c>
      <c r="B428" s="21">
        <v>112748</v>
      </c>
      <c r="C428" s="3" t="s">
        <v>709</v>
      </c>
      <c r="D428" s="3"/>
      <c r="E428" s="3" t="s">
        <v>774</v>
      </c>
      <c r="F428" s="7" t="s">
        <v>157</v>
      </c>
      <c r="G428" s="4" t="s">
        <v>158</v>
      </c>
      <c r="H428" s="40">
        <f>HYPERLINK("https://www.nite.go.jp/nbrc/catalogue/NBRCMediumDetailServlet?NO=001219",1219)</f>
        <v>1219</v>
      </c>
      <c r="I428" s="40">
        <f>HYPERLINK("https://www.nite.go.jp/nbrc/catalogue/NBRCMediumDetailServlet?NO=000347",347)</f>
        <v>347</v>
      </c>
      <c r="J428" s="13"/>
    </row>
    <row r="429" spans="1:10" x14ac:dyDescent="0.45">
      <c r="A429" s="5" t="s">
        <v>719</v>
      </c>
      <c r="B429" s="21">
        <v>112749</v>
      </c>
      <c r="C429" s="3" t="s">
        <v>709</v>
      </c>
      <c r="D429" s="3"/>
      <c r="E429" s="3" t="s">
        <v>774</v>
      </c>
      <c r="F429" s="7" t="s">
        <v>654</v>
      </c>
      <c r="G429" s="4" t="s">
        <v>655</v>
      </c>
      <c r="H429" s="40">
        <f>HYPERLINK("https://www.nite.go.jp/nbrc/catalogue/NBRCMediumDetailServlet?NO=001219",1219)</f>
        <v>1219</v>
      </c>
      <c r="I429" s="40">
        <f>HYPERLINK("https://www.nite.go.jp/nbrc/catalogue/NBRCMediumDetailServlet?NO=000347",347)</f>
        <v>347</v>
      </c>
      <c r="J429" s="13"/>
    </row>
    <row r="430" spans="1:10" x14ac:dyDescent="0.45">
      <c r="A430" s="5" t="s">
        <v>656</v>
      </c>
      <c r="B430" s="21">
        <v>112750</v>
      </c>
      <c r="C430" s="3" t="s">
        <v>709</v>
      </c>
      <c r="D430" s="3"/>
      <c r="E430" s="3" t="s">
        <v>774</v>
      </c>
      <c r="F430" s="7" t="s">
        <v>657</v>
      </c>
      <c r="G430" s="4" t="s">
        <v>658</v>
      </c>
      <c r="H430" s="40">
        <f>HYPERLINK("https://www.nite.go.jp/nbrc/catalogue/NBRCMediumDetailServlet?NO=001219",1219)</f>
        <v>1219</v>
      </c>
      <c r="I430" s="40"/>
      <c r="J430" s="13"/>
    </row>
    <row r="431" spans="1:10" x14ac:dyDescent="0.45">
      <c r="A431" s="5" t="s">
        <v>659</v>
      </c>
      <c r="B431" s="21">
        <v>112751</v>
      </c>
      <c r="C431" s="3" t="s">
        <v>709</v>
      </c>
      <c r="D431" s="3"/>
      <c r="E431" s="3" t="s">
        <v>774</v>
      </c>
      <c r="F431" s="7" t="s">
        <v>156</v>
      </c>
      <c r="G431" s="4" t="s">
        <v>31</v>
      </c>
      <c r="H431" s="40">
        <f>HYPERLINK("https://www.nite.go.jp/nbrc/catalogue/NBRCMediumDetailServlet?NO=001219",1219)</f>
        <v>1219</v>
      </c>
      <c r="I431" s="40"/>
      <c r="J431" s="13"/>
    </row>
    <row r="432" spans="1:10" ht="30" x14ac:dyDescent="0.45">
      <c r="A432" s="5" t="s">
        <v>734</v>
      </c>
      <c r="B432" s="21">
        <v>113011</v>
      </c>
      <c r="C432" s="3" t="s">
        <v>709</v>
      </c>
      <c r="D432" s="3" t="s">
        <v>713</v>
      </c>
      <c r="E432" s="3" t="s">
        <v>775</v>
      </c>
      <c r="F432" s="7" t="s">
        <v>172</v>
      </c>
      <c r="G432" s="4" t="s">
        <v>173</v>
      </c>
      <c r="H432" s="40">
        <f>HYPERLINK("https://www.nite.go.jp/nbrc/catalogue/NBRCMediumDetailServlet?NO=000814",814)</f>
        <v>814</v>
      </c>
      <c r="I432" s="40">
        <f>HYPERLINK("https://www.nite.go.jp/nbrc/catalogue/NBRCMediumDetailServlet?NO=000347",347)</f>
        <v>347</v>
      </c>
      <c r="J432" s="13" t="s">
        <v>779</v>
      </c>
    </row>
    <row r="433" spans="1:10" ht="30" x14ac:dyDescent="0.45">
      <c r="A433" s="5" t="s">
        <v>735</v>
      </c>
      <c r="B433" s="21">
        <v>113012</v>
      </c>
      <c r="C433" s="3" t="s">
        <v>709</v>
      </c>
      <c r="D433" s="3" t="s">
        <v>713</v>
      </c>
      <c r="E433" s="3" t="s">
        <v>775</v>
      </c>
      <c r="F433" s="7" t="s">
        <v>660</v>
      </c>
      <c r="G433" s="4" t="s">
        <v>661</v>
      </c>
      <c r="H433" s="40">
        <f>HYPERLINK("https://www.nite.go.jp/nbrc/catalogue/NBRCMediumDetailServlet?NO=000814",814)</f>
        <v>814</v>
      </c>
      <c r="I433" s="40">
        <f>HYPERLINK("https://www.nite.go.jp/nbrc/catalogue/NBRCMediumDetailServlet?NO=000347",347)</f>
        <v>347</v>
      </c>
      <c r="J433" s="13" t="s">
        <v>779</v>
      </c>
    </row>
    <row r="434" spans="1:10" ht="30" x14ac:dyDescent="0.45">
      <c r="A434" s="5" t="s">
        <v>736</v>
      </c>
      <c r="B434" s="21">
        <v>113013</v>
      </c>
      <c r="C434" s="3" t="s">
        <v>709</v>
      </c>
      <c r="D434" s="3" t="s">
        <v>713</v>
      </c>
      <c r="E434" s="3" t="s">
        <v>775</v>
      </c>
      <c r="F434" s="7" t="s">
        <v>662</v>
      </c>
      <c r="G434" s="4" t="s">
        <v>663</v>
      </c>
      <c r="H434" s="40">
        <f>HYPERLINK("https://www.nite.go.jp/nbrc/catalogue/NBRCMediumDetailServlet?NO=000814",814)</f>
        <v>814</v>
      </c>
      <c r="I434" s="40">
        <f>HYPERLINK("https://www.nite.go.jp/nbrc/catalogue/NBRCMediumDetailServlet?NO=000347",347)</f>
        <v>347</v>
      </c>
      <c r="J434" s="13" t="s">
        <v>779</v>
      </c>
    </row>
    <row r="435" spans="1:10" x14ac:dyDescent="0.45">
      <c r="A435" s="5" t="s">
        <v>664</v>
      </c>
      <c r="B435" s="21">
        <v>113350</v>
      </c>
      <c r="C435" s="3" t="s">
        <v>709</v>
      </c>
      <c r="D435" s="3"/>
      <c r="E435" s="3" t="s">
        <v>775</v>
      </c>
      <c r="F435" s="7" t="s">
        <v>223</v>
      </c>
      <c r="G435" s="4" t="s">
        <v>37</v>
      </c>
      <c r="H435" s="40">
        <f>HYPERLINK("https://www.nite.go.jp/nbrc/catalogue/NBRCMediumDetailServlet?NO=000312",312)</f>
        <v>312</v>
      </c>
      <c r="I435" s="40"/>
      <c r="J435" s="13" t="s">
        <v>765</v>
      </c>
    </row>
    <row r="436" spans="1:10" x14ac:dyDescent="0.45">
      <c r="A436" s="5" t="s">
        <v>951</v>
      </c>
      <c r="B436" s="21">
        <v>113352</v>
      </c>
      <c r="C436" s="3" t="s">
        <v>709</v>
      </c>
      <c r="D436" s="3"/>
      <c r="E436" s="3" t="s">
        <v>775</v>
      </c>
      <c r="F436" s="7" t="s">
        <v>223</v>
      </c>
      <c r="G436" s="4" t="s">
        <v>37</v>
      </c>
      <c r="H436" s="40">
        <f>HYPERLINK("https://www.nite.go.jp/nbrc/catalogue/NBRCMediumDetailServlet?NO=000312",312)</f>
        <v>312</v>
      </c>
      <c r="I436" s="40"/>
      <c r="J436" s="13" t="s">
        <v>765</v>
      </c>
    </row>
    <row r="437" spans="1:10" x14ac:dyDescent="0.45">
      <c r="A437" s="5" t="s">
        <v>665</v>
      </c>
      <c r="B437" s="21">
        <v>113353</v>
      </c>
      <c r="C437" s="3" t="s">
        <v>709</v>
      </c>
      <c r="D437" s="3"/>
      <c r="E437" s="3"/>
      <c r="F437" s="7" t="s">
        <v>223</v>
      </c>
      <c r="G437" s="4" t="s">
        <v>37</v>
      </c>
      <c r="H437" s="40">
        <f>HYPERLINK("https://www.nite.go.jp/nbrc/catalogue/NBRCMediumDetailServlet?NO=000312",312)</f>
        <v>312</v>
      </c>
      <c r="I437" s="40"/>
      <c r="J437" s="13" t="s">
        <v>765</v>
      </c>
    </row>
    <row r="438" spans="1:10" x14ac:dyDescent="0.45">
      <c r="A438" s="5" t="s">
        <v>666</v>
      </c>
      <c r="B438" s="21">
        <v>113451</v>
      </c>
      <c r="C438" s="3" t="s">
        <v>709</v>
      </c>
      <c r="D438" s="3"/>
      <c r="E438" s="3"/>
      <c r="F438" s="7" t="s">
        <v>667</v>
      </c>
      <c r="G438" s="4" t="s">
        <v>668</v>
      </c>
      <c r="H438" s="40">
        <f>HYPERLINK("https://www.nite.go.jp/nbrc/catalogue/NBRCMediumDetailServlet?NO=000802",802)</f>
        <v>802</v>
      </c>
      <c r="I438" s="40">
        <f>HYPERLINK("https://www.nite.go.jp/nbrc/catalogue/NBRCMediumDetailServlet?NO=000891",891)</f>
        <v>891</v>
      </c>
      <c r="J438" s="13"/>
    </row>
    <row r="439" spans="1:10" x14ac:dyDescent="0.45">
      <c r="A439" s="5" t="s">
        <v>269</v>
      </c>
      <c r="B439" s="21">
        <v>113590</v>
      </c>
      <c r="C439" s="3" t="s">
        <v>709</v>
      </c>
      <c r="D439" s="3"/>
      <c r="E439" s="3" t="s">
        <v>775</v>
      </c>
      <c r="F439" s="7" t="s">
        <v>138</v>
      </c>
      <c r="G439" s="4" t="s">
        <v>80</v>
      </c>
      <c r="H439" s="40">
        <f>HYPERLINK("https://www.nite.go.jp/nbrc/catalogue/NBRCMediumDetailServlet?NO=001498",1498)</f>
        <v>1498</v>
      </c>
      <c r="I439" s="40">
        <f t="shared" ref="I439:I450" si="17">HYPERLINK("https://www.nite.go.jp/nbrc/catalogue/NBRCMediumDetailServlet?NO=000802",802)</f>
        <v>802</v>
      </c>
      <c r="J439" s="13" t="s">
        <v>765</v>
      </c>
    </row>
    <row r="440" spans="1:10" x14ac:dyDescent="0.45">
      <c r="A440" s="5" t="s">
        <v>669</v>
      </c>
      <c r="B440" s="21">
        <v>113591</v>
      </c>
      <c r="C440" s="3" t="s">
        <v>709</v>
      </c>
      <c r="D440" s="3"/>
      <c r="E440" s="3"/>
      <c r="F440" s="7" t="s">
        <v>138</v>
      </c>
      <c r="G440" s="4" t="s">
        <v>80</v>
      </c>
      <c r="H440" s="40">
        <f>HYPERLINK("https://www.nite.go.jp/nbrc/catalogue/NBRCMediumDetailServlet?NO=001498",1498)</f>
        <v>1498</v>
      </c>
      <c r="I440" s="40">
        <f t="shared" si="17"/>
        <v>802</v>
      </c>
      <c r="J440" s="13" t="s">
        <v>765</v>
      </c>
    </row>
    <row r="441" spans="1:10" x14ac:dyDescent="0.45">
      <c r="A441" s="5" t="s">
        <v>670</v>
      </c>
      <c r="B441" s="21">
        <v>113592</v>
      </c>
      <c r="C441" s="3" t="s">
        <v>709</v>
      </c>
      <c r="D441" s="3"/>
      <c r="E441" s="3"/>
      <c r="F441" s="7" t="s">
        <v>138</v>
      </c>
      <c r="G441" s="4" t="s">
        <v>80</v>
      </c>
      <c r="H441" s="40">
        <f>HYPERLINK("https://www.nite.go.jp/nbrc/catalogue/NBRCMediumDetailServlet?NO=001498",1498)</f>
        <v>1498</v>
      </c>
      <c r="I441" s="40">
        <f t="shared" si="17"/>
        <v>802</v>
      </c>
      <c r="J441" s="13" t="s">
        <v>765</v>
      </c>
    </row>
    <row r="442" spans="1:10" x14ac:dyDescent="0.45">
      <c r="A442" s="5" t="s">
        <v>671</v>
      </c>
      <c r="B442" s="21">
        <v>113593</v>
      </c>
      <c r="C442" s="3" t="s">
        <v>709</v>
      </c>
      <c r="D442" s="3"/>
      <c r="E442" s="3"/>
      <c r="F442" s="7" t="s">
        <v>138</v>
      </c>
      <c r="G442" s="4" t="s">
        <v>80</v>
      </c>
      <c r="H442" s="40">
        <f>HYPERLINK("https://www.nite.go.jp/nbrc/catalogue/NBRCMediumDetailServlet?NO=001498",1498)</f>
        <v>1498</v>
      </c>
      <c r="I442" s="40">
        <f t="shared" si="17"/>
        <v>802</v>
      </c>
      <c r="J442" s="13" t="s">
        <v>765</v>
      </c>
    </row>
    <row r="443" spans="1:10" x14ac:dyDescent="0.45">
      <c r="A443" s="5" t="s">
        <v>672</v>
      </c>
      <c r="B443" s="21">
        <v>113594</v>
      </c>
      <c r="C443" s="3" t="s">
        <v>709</v>
      </c>
      <c r="D443" s="3"/>
      <c r="E443" s="3"/>
      <c r="F443" s="7" t="s">
        <v>138</v>
      </c>
      <c r="G443" s="4" t="s">
        <v>80</v>
      </c>
      <c r="H443" s="40">
        <f>HYPERLINK("https://www.nite.go.jp/nbrc/catalogue/NBRCMediumDetailServlet?NO=001498",1498)</f>
        <v>1498</v>
      </c>
      <c r="I443" s="40">
        <f t="shared" si="17"/>
        <v>802</v>
      </c>
      <c r="J443" s="13" t="s">
        <v>765</v>
      </c>
    </row>
    <row r="444" spans="1:10" ht="30" x14ac:dyDescent="0.45">
      <c r="A444" s="5" t="s">
        <v>946</v>
      </c>
      <c r="B444" s="21">
        <v>113595</v>
      </c>
      <c r="C444" s="3" t="s">
        <v>709</v>
      </c>
      <c r="D444" s="3"/>
      <c r="E444" s="3" t="s">
        <v>775</v>
      </c>
      <c r="F444" s="7" t="s">
        <v>138</v>
      </c>
      <c r="G444" s="4" t="s">
        <v>80</v>
      </c>
      <c r="H444" s="40">
        <f>HYPERLINK("https://www.nite.go.jp/nbrc/catalogue/NBRCMediumDetailServlet?NO=000848",848)</f>
        <v>848</v>
      </c>
      <c r="I444" s="40">
        <f t="shared" si="17"/>
        <v>802</v>
      </c>
      <c r="J444" s="13" t="s">
        <v>779</v>
      </c>
    </row>
    <row r="445" spans="1:10" ht="30" x14ac:dyDescent="0.45">
      <c r="A445" s="5" t="s">
        <v>673</v>
      </c>
      <c r="B445" s="21">
        <v>113596</v>
      </c>
      <c r="C445" s="3" t="s">
        <v>709</v>
      </c>
      <c r="D445" s="3"/>
      <c r="E445" s="3"/>
      <c r="F445" s="7" t="s">
        <v>138</v>
      </c>
      <c r="G445" s="4" t="s">
        <v>80</v>
      </c>
      <c r="H445" s="40">
        <f>HYPERLINK("https://www.nite.go.jp/nbrc/catalogue/NBRCMediumDetailServlet?NO=000848",848)</f>
        <v>848</v>
      </c>
      <c r="I445" s="40">
        <f t="shared" si="17"/>
        <v>802</v>
      </c>
      <c r="J445" s="13" t="s">
        <v>779</v>
      </c>
    </row>
    <row r="446" spans="1:10" ht="30" x14ac:dyDescent="0.45">
      <c r="A446" s="5" t="s">
        <v>639</v>
      </c>
      <c r="B446" s="21">
        <v>113597</v>
      </c>
      <c r="C446" s="3" t="s">
        <v>709</v>
      </c>
      <c r="D446" s="3"/>
      <c r="E446" s="3"/>
      <c r="F446" s="7" t="s">
        <v>138</v>
      </c>
      <c r="G446" s="4" t="s">
        <v>80</v>
      </c>
      <c r="H446" s="40">
        <f>HYPERLINK("https://www.nite.go.jp/nbrc/catalogue/NBRCMediumDetailServlet?NO=000848",848)</f>
        <v>848</v>
      </c>
      <c r="I446" s="40">
        <f t="shared" si="17"/>
        <v>802</v>
      </c>
      <c r="J446" s="13" t="s">
        <v>779</v>
      </c>
    </row>
    <row r="447" spans="1:10" x14ac:dyDescent="0.45">
      <c r="A447" s="5" t="s">
        <v>584</v>
      </c>
      <c r="B447" s="21">
        <v>113599</v>
      </c>
      <c r="C447" s="3" t="s">
        <v>709</v>
      </c>
      <c r="D447" s="3"/>
      <c r="E447" s="4"/>
      <c r="F447" s="7" t="s">
        <v>138</v>
      </c>
      <c r="G447" s="4" t="s">
        <v>80</v>
      </c>
      <c r="H447" s="40">
        <f>HYPERLINK("https://www.nite.go.jp/nbrc/catalogue/NBRCMediumDetailServlet?NO=000848",848)</f>
        <v>848</v>
      </c>
      <c r="I447" s="40">
        <f t="shared" si="17"/>
        <v>802</v>
      </c>
      <c r="J447" s="13" t="s">
        <v>765</v>
      </c>
    </row>
    <row r="448" spans="1:10" x14ac:dyDescent="0.45">
      <c r="A448" s="5" t="s">
        <v>674</v>
      </c>
      <c r="B448" s="21">
        <v>113600</v>
      </c>
      <c r="C448" s="3" t="s">
        <v>709</v>
      </c>
      <c r="D448" s="3"/>
      <c r="E448" s="3" t="s">
        <v>774</v>
      </c>
      <c r="F448" s="7" t="s">
        <v>138</v>
      </c>
      <c r="G448" s="4" t="s">
        <v>80</v>
      </c>
      <c r="H448" s="40">
        <f>HYPERLINK("https://www.nite.go.jp/nbrc/catalogue/NBRCMediumDetailServlet?NO=001498",1498)</f>
        <v>1498</v>
      </c>
      <c r="I448" s="40">
        <f t="shared" si="17"/>
        <v>802</v>
      </c>
      <c r="J448" s="13" t="s">
        <v>765</v>
      </c>
    </row>
    <row r="449" spans="1:10" x14ac:dyDescent="0.45">
      <c r="A449" s="5" t="s">
        <v>742</v>
      </c>
      <c r="B449" s="21">
        <v>113659</v>
      </c>
      <c r="C449" s="3" t="s">
        <v>709</v>
      </c>
      <c r="D449" s="3"/>
      <c r="E449" s="3"/>
      <c r="F449" s="7" t="s">
        <v>138</v>
      </c>
      <c r="G449" s="4" t="s">
        <v>80</v>
      </c>
      <c r="H449" s="40">
        <f>HYPERLINK("https://www.nite.go.jp/nbrc/catalogue/NBRCMediumDetailServlet?NO=001498",1498)</f>
        <v>1498</v>
      </c>
      <c r="I449" s="40">
        <f t="shared" si="17"/>
        <v>802</v>
      </c>
      <c r="J449" s="13" t="s">
        <v>765</v>
      </c>
    </row>
    <row r="450" spans="1:10" x14ac:dyDescent="0.45">
      <c r="A450" s="5" t="s">
        <v>675</v>
      </c>
      <c r="B450" s="21">
        <v>113660</v>
      </c>
      <c r="C450" s="3" t="s">
        <v>709</v>
      </c>
      <c r="D450" s="3"/>
      <c r="E450" s="3"/>
      <c r="F450" s="7" t="s">
        <v>138</v>
      </c>
      <c r="G450" s="4" t="s">
        <v>80</v>
      </c>
      <c r="H450" s="40">
        <f>HYPERLINK("https://www.nite.go.jp/nbrc/catalogue/NBRCMediumDetailServlet?NO=001498",1498)</f>
        <v>1498</v>
      </c>
      <c r="I450" s="40">
        <f t="shared" si="17"/>
        <v>802</v>
      </c>
      <c r="J450" s="13" t="s">
        <v>765</v>
      </c>
    </row>
    <row r="451" spans="1:10" x14ac:dyDescent="0.45">
      <c r="A451" s="5" t="s">
        <v>676</v>
      </c>
      <c r="B451" s="21">
        <v>113671</v>
      </c>
      <c r="C451" s="3" t="s">
        <v>711</v>
      </c>
      <c r="D451" s="3" t="s">
        <v>713</v>
      </c>
      <c r="E451" s="3"/>
      <c r="F451" s="7" t="s">
        <v>677</v>
      </c>
      <c r="G451" s="4" t="s">
        <v>144</v>
      </c>
      <c r="H451" s="40">
        <f>HYPERLINK("https://www.nite.go.jp/nbrc/catalogue/NBRCMediumDetailServlet?NO=000103",103)</f>
        <v>103</v>
      </c>
      <c r="I451" s="40">
        <f>HYPERLINK("https://www.nite.go.jp/nbrc/catalogue/NBRCMediumDetailServlet?NO=001390",1390)</f>
        <v>1390</v>
      </c>
      <c r="J451" s="13"/>
    </row>
    <row r="452" spans="1:10" x14ac:dyDescent="0.45">
      <c r="A452" s="5" t="s">
        <v>678</v>
      </c>
      <c r="B452" s="21">
        <v>113804</v>
      </c>
      <c r="C452" s="3" t="s">
        <v>709</v>
      </c>
      <c r="D452" s="3"/>
      <c r="E452" s="3" t="s">
        <v>775</v>
      </c>
      <c r="F452" s="7" t="s">
        <v>223</v>
      </c>
      <c r="G452" s="4" t="s">
        <v>37</v>
      </c>
      <c r="H452" s="40">
        <f t="shared" ref="H452:H472" si="18">HYPERLINK("https://www.nite.go.jp/nbrc/catalogue/NBRCMediumDetailServlet?NO=000312",312)</f>
        <v>312</v>
      </c>
      <c r="I452" s="40"/>
      <c r="J452" s="13" t="s">
        <v>765</v>
      </c>
    </row>
    <row r="453" spans="1:10" x14ac:dyDescent="0.45">
      <c r="A453" s="5" t="s">
        <v>679</v>
      </c>
      <c r="B453" s="21">
        <v>113805</v>
      </c>
      <c r="C453" s="3" t="s">
        <v>709</v>
      </c>
      <c r="D453" s="3"/>
      <c r="E453" s="3"/>
      <c r="F453" s="7" t="s">
        <v>223</v>
      </c>
      <c r="G453" s="4" t="s">
        <v>37</v>
      </c>
      <c r="H453" s="40">
        <f t="shared" si="18"/>
        <v>312</v>
      </c>
      <c r="I453" s="40"/>
      <c r="J453" s="13" t="s">
        <v>765</v>
      </c>
    </row>
    <row r="454" spans="1:10" x14ac:dyDescent="0.45">
      <c r="A454" s="5" t="s">
        <v>680</v>
      </c>
      <c r="B454" s="21">
        <v>113806</v>
      </c>
      <c r="C454" s="3" t="s">
        <v>709</v>
      </c>
      <c r="D454" s="3"/>
      <c r="E454" s="3" t="s">
        <v>775</v>
      </c>
      <c r="F454" s="7" t="s">
        <v>223</v>
      </c>
      <c r="G454" s="4" t="s">
        <v>37</v>
      </c>
      <c r="H454" s="40">
        <f t="shared" si="18"/>
        <v>312</v>
      </c>
      <c r="I454" s="40"/>
      <c r="J454" s="13" t="s">
        <v>765</v>
      </c>
    </row>
    <row r="455" spans="1:10" x14ac:dyDescent="0.45">
      <c r="A455" s="5" t="s">
        <v>681</v>
      </c>
      <c r="B455" s="21">
        <v>113808</v>
      </c>
      <c r="C455" s="3" t="s">
        <v>709</v>
      </c>
      <c r="D455" s="3"/>
      <c r="E455" s="3" t="s">
        <v>775</v>
      </c>
      <c r="F455" s="7" t="s">
        <v>682</v>
      </c>
      <c r="G455" s="4" t="s">
        <v>80</v>
      </c>
      <c r="H455" s="40">
        <f t="shared" si="18"/>
        <v>312</v>
      </c>
      <c r="I455" s="40"/>
      <c r="J455" s="13"/>
    </row>
    <row r="456" spans="1:10" x14ac:dyDescent="0.45">
      <c r="A456" s="5" t="s">
        <v>670</v>
      </c>
      <c r="B456" s="21">
        <v>113809</v>
      </c>
      <c r="C456" s="3" t="s">
        <v>709</v>
      </c>
      <c r="D456" s="3"/>
      <c r="E456" s="3" t="s">
        <v>775</v>
      </c>
      <c r="F456" s="7" t="s">
        <v>683</v>
      </c>
      <c r="G456" s="4" t="s">
        <v>80</v>
      </c>
      <c r="H456" s="40">
        <f t="shared" si="18"/>
        <v>312</v>
      </c>
      <c r="I456" s="40"/>
      <c r="J456" s="13"/>
    </row>
    <row r="457" spans="1:10" x14ac:dyDescent="0.45">
      <c r="A457" s="5" t="s">
        <v>684</v>
      </c>
      <c r="B457" s="21">
        <v>113810</v>
      </c>
      <c r="C457" s="3" t="s">
        <v>709</v>
      </c>
      <c r="D457" s="3"/>
      <c r="E457" s="3"/>
      <c r="F457" s="7" t="s">
        <v>685</v>
      </c>
      <c r="G457" s="4" t="s">
        <v>80</v>
      </c>
      <c r="H457" s="40">
        <f t="shared" si="18"/>
        <v>312</v>
      </c>
      <c r="I457" s="40"/>
      <c r="J457" s="13"/>
    </row>
    <row r="458" spans="1:10" x14ac:dyDescent="0.45">
      <c r="A458" s="5" t="s">
        <v>686</v>
      </c>
      <c r="B458" s="21">
        <v>113811</v>
      </c>
      <c r="C458" s="3" t="s">
        <v>709</v>
      </c>
      <c r="D458" s="3"/>
      <c r="E458" s="3"/>
      <c r="F458" s="7" t="s">
        <v>685</v>
      </c>
      <c r="G458" s="4" t="s">
        <v>80</v>
      </c>
      <c r="H458" s="40">
        <f t="shared" si="18"/>
        <v>312</v>
      </c>
      <c r="I458" s="40"/>
      <c r="J458" s="13"/>
    </row>
    <row r="459" spans="1:10" x14ac:dyDescent="0.45">
      <c r="A459" s="5" t="s">
        <v>687</v>
      </c>
      <c r="B459" s="21">
        <v>113812</v>
      </c>
      <c r="C459" s="3" t="s">
        <v>709</v>
      </c>
      <c r="D459" s="3"/>
      <c r="E459" s="3" t="s">
        <v>775</v>
      </c>
      <c r="F459" s="7" t="s">
        <v>688</v>
      </c>
      <c r="G459" s="4" t="s">
        <v>80</v>
      </c>
      <c r="H459" s="40">
        <f t="shared" si="18"/>
        <v>312</v>
      </c>
      <c r="I459" s="40"/>
      <c r="J459" s="13"/>
    </row>
    <row r="460" spans="1:10" x14ac:dyDescent="0.45">
      <c r="A460" s="5" t="s">
        <v>687</v>
      </c>
      <c r="B460" s="21">
        <v>113813</v>
      </c>
      <c r="C460" s="3" t="s">
        <v>709</v>
      </c>
      <c r="D460" s="3"/>
      <c r="E460" s="3" t="s">
        <v>775</v>
      </c>
      <c r="F460" s="7" t="s">
        <v>689</v>
      </c>
      <c r="G460" s="4" t="s">
        <v>80</v>
      </c>
      <c r="H460" s="40">
        <f t="shared" si="18"/>
        <v>312</v>
      </c>
      <c r="I460" s="40"/>
      <c r="J460" s="13"/>
    </row>
    <row r="461" spans="1:10" x14ac:dyDescent="0.45">
      <c r="A461" s="5" t="s">
        <v>690</v>
      </c>
      <c r="B461" s="21">
        <v>113814</v>
      </c>
      <c r="C461" s="3" t="s">
        <v>709</v>
      </c>
      <c r="D461" s="3"/>
      <c r="E461" s="3"/>
      <c r="F461" s="7" t="s">
        <v>691</v>
      </c>
      <c r="G461" s="4" t="s">
        <v>80</v>
      </c>
      <c r="H461" s="40">
        <f t="shared" si="18"/>
        <v>312</v>
      </c>
      <c r="I461" s="40"/>
      <c r="J461" s="13"/>
    </row>
    <row r="462" spans="1:10" x14ac:dyDescent="0.45">
      <c r="A462" s="5" t="s">
        <v>946</v>
      </c>
      <c r="B462" s="21">
        <v>113815</v>
      </c>
      <c r="C462" s="3" t="s">
        <v>709</v>
      </c>
      <c r="D462" s="3"/>
      <c r="E462" s="3" t="s">
        <v>775</v>
      </c>
      <c r="F462" s="7" t="s">
        <v>683</v>
      </c>
      <c r="G462" s="4" t="s">
        <v>80</v>
      </c>
      <c r="H462" s="40">
        <f t="shared" si="18"/>
        <v>312</v>
      </c>
      <c r="I462" s="40"/>
      <c r="J462" s="13" t="s">
        <v>765</v>
      </c>
    </row>
    <row r="463" spans="1:10" x14ac:dyDescent="0.45">
      <c r="A463" s="5" t="s">
        <v>946</v>
      </c>
      <c r="B463" s="21">
        <v>113816</v>
      </c>
      <c r="C463" s="3" t="s">
        <v>709</v>
      </c>
      <c r="D463" s="3"/>
      <c r="E463" s="3" t="s">
        <v>775</v>
      </c>
      <c r="F463" s="7" t="s">
        <v>692</v>
      </c>
      <c r="G463" s="4" t="s">
        <v>80</v>
      </c>
      <c r="H463" s="40">
        <f t="shared" si="18"/>
        <v>312</v>
      </c>
      <c r="I463" s="40"/>
      <c r="J463" s="13" t="s">
        <v>765</v>
      </c>
    </row>
    <row r="464" spans="1:10" x14ac:dyDescent="0.45">
      <c r="A464" s="5" t="s">
        <v>946</v>
      </c>
      <c r="B464" s="21">
        <v>113817</v>
      </c>
      <c r="C464" s="3" t="s">
        <v>709</v>
      </c>
      <c r="D464" s="3"/>
      <c r="E464" s="3" t="s">
        <v>775</v>
      </c>
      <c r="F464" s="7" t="s">
        <v>693</v>
      </c>
      <c r="G464" s="4" t="s">
        <v>80</v>
      </c>
      <c r="H464" s="40">
        <f t="shared" si="18"/>
        <v>312</v>
      </c>
      <c r="I464" s="40"/>
      <c r="J464" s="13" t="s">
        <v>765</v>
      </c>
    </row>
    <row r="465" spans="1:10" x14ac:dyDescent="0.45">
      <c r="A465" s="5" t="s">
        <v>946</v>
      </c>
      <c r="B465" s="21">
        <v>113818</v>
      </c>
      <c r="C465" s="3" t="s">
        <v>709</v>
      </c>
      <c r="D465" s="3"/>
      <c r="E465" s="3" t="s">
        <v>775</v>
      </c>
      <c r="F465" s="7" t="s">
        <v>694</v>
      </c>
      <c r="G465" s="4" t="s">
        <v>80</v>
      </c>
      <c r="H465" s="40">
        <f t="shared" si="18"/>
        <v>312</v>
      </c>
      <c r="I465" s="40"/>
      <c r="J465" s="13" t="s">
        <v>765</v>
      </c>
    </row>
    <row r="466" spans="1:10" x14ac:dyDescent="0.45">
      <c r="A466" s="5" t="s">
        <v>947</v>
      </c>
      <c r="B466" s="21">
        <v>113819</v>
      </c>
      <c r="C466" s="3" t="s">
        <v>709</v>
      </c>
      <c r="D466" s="3"/>
      <c r="E466" s="3" t="s">
        <v>775</v>
      </c>
      <c r="F466" s="7" t="s">
        <v>682</v>
      </c>
      <c r="G466" s="4" t="s">
        <v>80</v>
      </c>
      <c r="H466" s="40">
        <f t="shared" si="18"/>
        <v>312</v>
      </c>
      <c r="I466" s="40"/>
      <c r="J466" s="13" t="s">
        <v>765</v>
      </c>
    </row>
    <row r="467" spans="1:10" x14ac:dyDescent="0.45">
      <c r="A467" s="5" t="s">
        <v>673</v>
      </c>
      <c r="B467" s="21">
        <v>113820</v>
      </c>
      <c r="C467" s="3" t="s">
        <v>709</v>
      </c>
      <c r="D467" s="3"/>
      <c r="E467" s="3" t="s">
        <v>775</v>
      </c>
      <c r="F467" s="7" t="s">
        <v>695</v>
      </c>
      <c r="G467" s="4" t="s">
        <v>80</v>
      </c>
      <c r="H467" s="40">
        <f t="shared" si="18"/>
        <v>312</v>
      </c>
      <c r="I467" s="40"/>
      <c r="J467" s="13" t="s">
        <v>765</v>
      </c>
    </row>
    <row r="468" spans="1:10" x14ac:dyDescent="0.45">
      <c r="A468" s="5" t="s">
        <v>639</v>
      </c>
      <c r="B468" s="21">
        <v>113821</v>
      </c>
      <c r="C468" s="3" t="s">
        <v>709</v>
      </c>
      <c r="D468" s="3"/>
      <c r="E468" s="3" t="s">
        <v>775</v>
      </c>
      <c r="F468" s="7" t="s">
        <v>696</v>
      </c>
      <c r="G468" s="4" t="s">
        <v>80</v>
      </c>
      <c r="H468" s="40">
        <f t="shared" si="18"/>
        <v>312</v>
      </c>
      <c r="I468" s="40"/>
      <c r="J468" s="13" t="s">
        <v>765</v>
      </c>
    </row>
    <row r="469" spans="1:10" x14ac:dyDescent="0.45">
      <c r="A469" s="5" t="s">
        <v>639</v>
      </c>
      <c r="B469" s="21">
        <v>113822</v>
      </c>
      <c r="C469" s="3" t="s">
        <v>709</v>
      </c>
      <c r="D469" s="3"/>
      <c r="E469" s="3" t="s">
        <v>775</v>
      </c>
      <c r="F469" s="7" t="s">
        <v>697</v>
      </c>
      <c r="G469" s="4" t="s">
        <v>80</v>
      </c>
      <c r="H469" s="40">
        <f t="shared" si="18"/>
        <v>312</v>
      </c>
      <c r="I469" s="40"/>
      <c r="J469" s="13" t="s">
        <v>766</v>
      </c>
    </row>
    <row r="470" spans="1:10" x14ac:dyDescent="0.45">
      <c r="A470" s="5" t="s">
        <v>228</v>
      </c>
      <c r="B470" s="21">
        <v>113823</v>
      </c>
      <c r="C470" s="3" t="s">
        <v>709</v>
      </c>
      <c r="D470" s="3"/>
      <c r="E470" s="3" t="s">
        <v>916</v>
      </c>
      <c r="F470" s="7" t="s">
        <v>698</v>
      </c>
      <c r="G470" s="4" t="s">
        <v>918</v>
      </c>
      <c r="H470" s="40">
        <f t="shared" si="18"/>
        <v>312</v>
      </c>
      <c r="I470" s="40"/>
      <c r="J470" s="13"/>
    </row>
    <row r="471" spans="1:10" x14ac:dyDescent="0.45">
      <c r="A471" s="28" t="s">
        <v>919</v>
      </c>
      <c r="B471" s="21">
        <v>113824</v>
      </c>
      <c r="C471" s="4" t="s">
        <v>783</v>
      </c>
      <c r="D471" s="4"/>
      <c r="E471" s="4" t="s">
        <v>916</v>
      </c>
      <c r="F471" s="29" t="s">
        <v>917</v>
      </c>
      <c r="G471" s="4" t="s">
        <v>918</v>
      </c>
      <c r="H471" s="42">
        <f t="shared" si="18"/>
        <v>312</v>
      </c>
      <c r="I471" s="42"/>
      <c r="J471" s="30" t="s">
        <v>766</v>
      </c>
    </row>
    <row r="472" spans="1:10" x14ac:dyDescent="0.45">
      <c r="A472" s="5" t="s">
        <v>948</v>
      </c>
      <c r="B472" s="21">
        <v>113825</v>
      </c>
      <c r="C472" s="3" t="s">
        <v>709</v>
      </c>
      <c r="D472" s="3"/>
      <c r="E472" s="3"/>
      <c r="F472" s="7" t="s">
        <v>683</v>
      </c>
      <c r="G472" s="4" t="s">
        <v>80</v>
      </c>
      <c r="H472" s="40">
        <f t="shared" si="18"/>
        <v>312</v>
      </c>
      <c r="I472" s="40"/>
      <c r="J472" s="13" t="s">
        <v>766</v>
      </c>
    </row>
    <row r="473" spans="1:10" x14ac:dyDescent="0.45">
      <c r="A473" s="5" t="s">
        <v>628</v>
      </c>
      <c r="B473" s="21">
        <v>113844</v>
      </c>
      <c r="C473" s="3" t="s">
        <v>709</v>
      </c>
      <c r="D473" s="3"/>
      <c r="E473" s="3" t="s">
        <v>775</v>
      </c>
      <c r="F473" s="7" t="s">
        <v>699</v>
      </c>
      <c r="G473" s="4" t="s">
        <v>80</v>
      </c>
      <c r="H473" s="40">
        <f t="shared" ref="H473:H480" si="19">HYPERLINK("https://www.nite.go.jp/nbrc/catalogue/NBRCMediumDetailServlet?NO=000891",891)</f>
        <v>891</v>
      </c>
      <c r="I473" s="40"/>
      <c r="J473" s="13"/>
    </row>
    <row r="474" spans="1:10" x14ac:dyDescent="0.45">
      <c r="A474" s="5" t="s">
        <v>700</v>
      </c>
      <c r="B474" s="21">
        <v>113845</v>
      </c>
      <c r="C474" s="3" t="s">
        <v>709</v>
      </c>
      <c r="D474" s="3"/>
      <c r="E474" s="3" t="s">
        <v>775</v>
      </c>
      <c r="F474" s="7" t="s">
        <v>701</v>
      </c>
      <c r="G474" s="4" t="s">
        <v>80</v>
      </c>
      <c r="H474" s="40">
        <f t="shared" si="19"/>
        <v>891</v>
      </c>
      <c r="I474" s="40"/>
      <c r="J474" s="13"/>
    </row>
    <row r="475" spans="1:10" x14ac:dyDescent="0.45">
      <c r="A475" s="5" t="s">
        <v>702</v>
      </c>
      <c r="B475" s="21">
        <v>113846</v>
      </c>
      <c r="C475" s="3" t="s">
        <v>709</v>
      </c>
      <c r="D475" s="3"/>
      <c r="E475" s="3" t="s">
        <v>775</v>
      </c>
      <c r="F475" s="7" t="s">
        <v>695</v>
      </c>
      <c r="G475" s="4" t="s">
        <v>80</v>
      </c>
      <c r="H475" s="40">
        <f t="shared" si="19"/>
        <v>891</v>
      </c>
      <c r="I475" s="40"/>
      <c r="J475" s="13"/>
    </row>
    <row r="476" spans="1:10" x14ac:dyDescent="0.45">
      <c r="A476" s="5" t="s">
        <v>702</v>
      </c>
      <c r="B476" s="21">
        <v>113847</v>
      </c>
      <c r="C476" s="3" t="s">
        <v>709</v>
      </c>
      <c r="D476" s="3"/>
      <c r="E476" s="3" t="s">
        <v>775</v>
      </c>
      <c r="F476" s="7" t="s">
        <v>697</v>
      </c>
      <c r="G476" s="4" t="s">
        <v>80</v>
      </c>
      <c r="H476" s="40">
        <f t="shared" si="19"/>
        <v>891</v>
      </c>
      <c r="I476" s="40"/>
      <c r="J476" s="13"/>
    </row>
    <row r="477" spans="1:10" x14ac:dyDescent="0.45">
      <c r="A477" s="5" t="s">
        <v>737</v>
      </c>
      <c r="B477" s="21">
        <v>113848</v>
      </c>
      <c r="C477" s="3" t="s">
        <v>709</v>
      </c>
      <c r="D477" s="3"/>
      <c r="E477" s="3" t="s">
        <v>775</v>
      </c>
      <c r="F477" s="7" t="s">
        <v>689</v>
      </c>
      <c r="G477" s="4" t="s">
        <v>80</v>
      </c>
      <c r="H477" s="40">
        <f t="shared" si="19"/>
        <v>891</v>
      </c>
      <c r="I477" s="40"/>
      <c r="J477" s="13"/>
    </row>
    <row r="478" spans="1:10" x14ac:dyDescent="0.45">
      <c r="A478" s="5" t="s">
        <v>738</v>
      </c>
      <c r="B478" s="21">
        <v>113849</v>
      </c>
      <c r="C478" s="3" t="s">
        <v>709</v>
      </c>
      <c r="D478" s="3"/>
      <c r="E478" s="3"/>
      <c r="F478" s="7" t="s">
        <v>701</v>
      </c>
      <c r="G478" s="4" t="s">
        <v>80</v>
      </c>
      <c r="H478" s="40">
        <f t="shared" si="19"/>
        <v>891</v>
      </c>
      <c r="I478" s="40"/>
      <c r="J478" s="13"/>
    </row>
    <row r="479" spans="1:10" x14ac:dyDescent="0.45">
      <c r="A479" s="5" t="s">
        <v>703</v>
      </c>
      <c r="B479" s="21">
        <v>113850</v>
      </c>
      <c r="C479" s="3" t="s">
        <v>709</v>
      </c>
      <c r="D479" s="3"/>
      <c r="E479" s="3"/>
      <c r="F479" s="7" t="s">
        <v>689</v>
      </c>
      <c r="G479" s="4" t="s">
        <v>80</v>
      </c>
      <c r="H479" s="40">
        <f t="shared" si="19"/>
        <v>891</v>
      </c>
      <c r="I479" s="40"/>
      <c r="J479" s="13"/>
    </row>
    <row r="480" spans="1:10" x14ac:dyDescent="0.45">
      <c r="A480" s="5" t="s">
        <v>743</v>
      </c>
      <c r="B480" s="21">
        <v>113851</v>
      </c>
      <c r="C480" s="3" t="s">
        <v>709</v>
      </c>
      <c r="D480" s="3"/>
      <c r="E480" s="3" t="s">
        <v>775</v>
      </c>
      <c r="F480" s="7" t="s">
        <v>689</v>
      </c>
      <c r="G480" s="4" t="s">
        <v>80</v>
      </c>
      <c r="H480" s="40">
        <f t="shared" si="19"/>
        <v>891</v>
      </c>
      <c r="I480" s="40"/>
      <c r="J480" s="13"/>
    </row>
    <row r="481" spans="1:10" x14ac:dyDescent="0.45">
      <c r="A481" s="5" t="s">
        <v>704</v>
      </c>
      <c r="B481" s="21">
        <v>113868</v>
      </c>
      <c r="C481" s="3" t="s">
        <v>709</v>
      </c>
      <c r="D481" s="3"/>
      <c r="E481" s="3"/>
      <c r="F481" s="7" t="s">
        <v>701</v>
      </c>
      <c r="G481" s="4" t="s">
        <v>80</v>
      </c>
      <c r="H481" s="40">
        <f>HYPERLINK("https://www.nite.go.jp/nbrc/catalogue/NBRCMediumDetailServlet?NO=000312",312)</f>
        <v>312</v>
      </c>
      <c r="I481" s="40"/>
      <c r="J481" s="13"/>
    </row>
    <row r="482" spans="1:10" x14ac:dyDescent="0.45">
      <c r="A482" s="5" t="s">
        <v>946</v>
      </c>
      <c r="B482" s="21">
        <v>113869</v>
      </c>
      <c r="C482" s="3" t="s">
        <v>709</v>
      </c>
      <c r="D482" s="3"/>
      <c r="E482" s="3" t="s">
        <v>775</v>
      </c>
      <c r="F482" s="7" t="s">
        <v>695</v>
      </c>
      <c r="G482" s="4" t="s">
        <v>80</v>
      </c>
      <c r="H482" s="40">
        <f>HYPERLINK("https://www.nite.go.jp/nbrc/catalogue/NBRCMediumDetailServlet?NO=000312",312)</f>
        <v>312</v>
      </c>
      <c r="I482" s="40"/>
      <c r="J482" s="13" t="s">
        <v>765</v>
      </c>
    </row>
    <row r="483" spans="1:10" x14ac:dyDescent="0.45">
      <c r="A483" s="5" t="s">
        <v>705</v>
      </c>
      <c r="B483" s="21">
        <v>113870</v>
      </c>
      <c r="C483" s="3" t="s">
        <v>709</v>
      </c>
      <c r="D483" s="3"/>
      <c r="E483" s="3"/>
      <c r="F483" s="7" t="s">
        <v>706</v>
      </c>
      <c r="G483" s="4" t="s">
        <v>80</v>
      </c>
      <c r="H483" s="40">
        <f>HYPERLINK("https://www.nite.go.jp/nbrc/catalogue/NBRCMediumDetailServlet?NO=000312",312)</f>
        <v>312</v>
      </c>
      <c r="I483" s="40"/>
      <c r="J483" s="13"/>
    </row>
    <row r="484" spans="1:10" x14ac:dyDescent="0.45">
      <c r="A484" s="5" t="s">
        <v>707</v>
      </c>
      <c r="B484" s="21">
        <v>113871</v>
      </c>
      <c r="C484" s="3" t="s">
        <v>709</v>
      </c>
      <c r="D484" s="3"/>
      <c r="E484" s="3"/>
      <c r="F484" s="7" t="s">
        <v>691</v>
      </c>
      <c r="G484" s="4" t="s">
        <v>80</v>
      </c>
      <c r="H484" s="40">
        <f>HYPERLINK("https://www.nite.go.jp/nbrc/catalogue/NBRCMediumDetailServlet?NO=000312",312)</f>
        <v>312</v>
      </c>
      <c r="I484" s="40"/>
      <c r="J484" s="13"/>
    </row>
    <row r="485" spans="1:10" x14ac:dyDescent="0.45">
      <c r="A485" s="5" t="s">
        <v>231</v>
      </c>
      <c r="B485" s="21">
        <v>113898</v>
      </c>
      <c r="C485" s="3" t="s">
        <v>709</v>
      </c>
      <c r="D485" s="3"/>
      <c r="E485" s="3" t="s">
        <v>775</v>
      </c>
      <c r="F485" s="7" t="s">
        <v>698</v>
      </c>
      <c r="G485" s="4" t="s">
        <v>80</v>
      </c>
      <c r="H485" s="40">
        <f>HYPERLINK("https://www.nite.go.jp/nbrc/catalogue/NBRCMediumDetailServlet?NO=001509",1509)</f>
        <v>1509</v>
      </c>
      <c r="I485" s="40"/>
      <c r="J485" s="13"/>
    </row>
    <row r="486" spans="1:10" x14ac:dyDescent="0.45">
      <c r="A486" s="5" t="s">
        <v>628</v>
      </c>
      <c r="B486" s="21">
        <v>113899</v>
      </c>
      <c r="C486" s="3" t="s">
        <v>709</v>
      </c>
      <c r="D486" s="3"/>
      <c r="E486" s="3" t="s">
        <v>775</v>
      </c>
      <c r="F486" s="7" t="s">
        <v>698</v>
      </c>
      <c r="G486" s="4" t="s">
        <v>80</v>
      </c>
      <c r="H486" s="40">
        <f>HYPERLINK("https://www.nite.go.jp/nbrc/catalogue/NBRCMediumDetailServlet?NO=000802",802)</f>
        <v>802</v>
      </c>
      <c r="I486" s="40"/>
      <c r="J486" s="13"/>
    </row>
    <row r="487" spans="1:10" x14ac:dyDescent="0.45">
      <c r="A487" s="5" t="s">
        <v>737</v>
      </c>
      <c r="B487" s="21">
        <v>113928</v>
      </c>
      <c r="C487" s="3" t="s">
        <v>709</v>
      </c>
      <c r="D487" s="3"/>
      <c r="E487" s="3" t="s">
        <v>775</v>
      </c>
      <c r="F487" s="7" t="s">
        <v>708</v>
      </c>
      <c r="G487" s="4" t="s">
        <v>80</v>
      </c>
      <c r="H487" s="40">
        <f>HYPERLINK("https://www.nite.go.jp/nbrc/catalogue/NBRCMediumDetailServlet?NO=000891",891)</f>
        <v>891</v>
      </c>
      <c r="I487" s="40"/>
      <c r="J487" s="13"/>
    </row>
    <row r="488" spans="1:10" x14ac:dyDescent="0.45">
      <c r="A488" s="28" t="s">
        <v>912</v>
      </c>
      <c r="B488" s="21">
        <v>114322</v>
      </c>
      <c r="C488" s="4" t="s">
        <v>709</v>
      </c>
      <c r="D488" s="4"/>
      <c r="E488" s="4"/>
      <c r="F488" s="29" t="s">
        <v>913</v>
      </c>
      <c r="G488" s="4" t="s">
        <v>764</v>
      </c>
      <c r="H488" s="42">
        <f>HYPERLINK("https://www.nite.go.jp/nbrc/catalogue/NBRCMediumDetailServlet?NO=001534",1534)</f>
        <v>1534</v>
      </c>
      <c r="I488" s="42">
        <f>HYPERLINK("https://www.nite.go.jp/nbrc/catalogue/NBRCMediumDetailServlet?NO=001535",1535)</f>
        <v>1535</v>
      </c>
      <c r="J488" s="30" t="s">
        <v>766</v>
      </c>
    </row>
    <row r="489" spans="1:10" x14ac:dyDescent="0.45">
      <c r="A489" s="28" t="s">
        <v>920</v>
      </c>
      <c r="B489" s="21">
        <v>114370</v>
      </c>
      <c r="C489" s="4" t="s">
        <v>783</v>
      </c>
      <c r="D489" s="4"/>
      <c r="E489" s="4"/>
      <c r="F489" s="29" t="s">
        <v>913</v>
      </c>
      <c r="G489" s="4" t="s">
        <v>764</v>
      </c>
      <c r="H489" s="42">
        <f>HYPERLINK("https://www.nite.go.jp/nbrc/catalogue/NBRCMediumDetailServlet?NO=001534",1534)</f>
        <v>1534</v>
      </c>
      <c r="I489" s="42">
        <f>HYPERLINK("https://www.nite.go.jp/nbrc/catalogue/NBRCMediumDetailServlet?NO=001535",1535)</f>
        <v>1535</v>
      </c>
      <c r="J489" s="30" t="s">
        <v>765</v>
      </c>
    </row>
    <row r="490" spans="1:10" x14ac:dyDescent="0.45">
      <c r="A490" s="28" t="s">
        <v>921</v>
      </c>
      <c r="B490" s="21">
        <v>114412</v>
      </c>
      <c r="C490" s="4" t="s">
        <v>783</v>
      </c>
      <c r="D490" s="4"/>
      <c r="E490" s="4"/>
      <c r="F490" s="29" t="s">
        <v>922</v>
      </c>
      <c r="G490" s="4" t="s">
        <v>764</v>
      </c>
      <c r="H490" s="42">
        <f>HYPERLINK("https://www.nite.go.jp/nbrc/catalogue/NBRCMediumDetailServlet?NO=001534",1534)</f>
        <v>1534</v>
      </c>
      <c r="I490" s="42">
        <f>HYPERLINK("https://www.nite.go.jp/nbrc/catalogue/NBRCMediumDetailServlet?NO=001535",1535)</f>
        <v>1535</v>
      </c>
      <c r="J490" s="30" t="s">
        <v>765</v>
      </c>
    </row>
    <row r="491" spans="1:10" x14ac:dyDescent="0.45">
      <c r="A491" s="28" t="s">
        <v>923</v>
      </c>
      <c r="B491" s="21">
        <v>114413</v>
      </c>
      <c r="C491" s="4" t="s">
        <v>783</v>
      </c>
      <c r="D491" s="4"/>
      <c r="E491" s="4"/>
      <c r="F491" s="29" t="s">
        <v>924</v>
      </c>
      <c r="G491" s="4" t="s">
        <v>764</v>
      </c>
      <c r="H491" s="42">
        <f>HYPERLINK("https://www.nite.go.jp/nbrc/catalogue/NBRCMediumDetailServlet?NO=001534",1534)</f>
        <v>1534</v>
      </c>
      <c r="I491" s="42">
        <f>HYPERLINK("https://www.nite.go.jp/nbrc/catalogue/NBRCMediumDetailServlet?NO=001535",1535)</f>
        <v>1535</v>
      </c>
      <c r="J491" s="30" t="s">
        <v>766</v>
      </c>
    </row>
    <row r="492" spans="1:10" x14ac:dyDescent="0.45">
      <c r="A492" s="28" t="s">
        <v>930</v>
      </c>
      <c r="B492" s="21">
        <v>114415</v>
      </c>
      <c r="C492" s="4" t="s">
        <v>783</v>
      </c>
      <c r="D492" s="4"/>
      <c r="E492" s="4"/>
      <c r="F492" s="29" t="s">
        <v>931</v>
      </c>
      <c r="G492" s="4" t="s">
        <v>37</v>
      </c>
      <c r="H492" s="42">
        <f>HYPERLINK("https://www.nite.go.jp/nbrc/catalogue/NBRCMediumDetailServlet?NO=001534",1534)</f>
        <v>1534</v>
      </c>
      <c r="I492" s="42">
        <f>HYPERLINK("https://www.nite.go.jp/nbrc/catalogue/NBRCMediumDetailServlet?NO=001535",1535)</f>
        <v>1535</v>
      </c>
      <c r="J492" s="30" t="s">
        <v>766</v>
      </c>
    </row>
    <row r="493" spans="1:10" x14ac:dyDescent="0.45">
      <c r="A493" s="28" t="s">
        <v>928</v>
      </c>
      <c r="B493" s="21">
        <v>114494</v>
      </c>
      <c r="C493" s="4" t="s">
        <v>783</v>
      </c>
      <c r="D493" s="4"/>
      <c r="E493" s="4"/>
      <c r="F493" s="29" t="s">
        <v>929</v>
      </c>
      <c r="G493" s="4" t="s">
        <v>764</v>
      </c>
      <c r="H493" s="42">
        <f>HYPERLINK("https://www.nite.go.jp/nbrc/catalogue/NBRCMediumDetailServlet?NO=001545",1545)</f>
        <v>1545</v>
      </c>
      <c r="I493" s="42">
        <f>HYPERLINK("https://www.nite.go.jp/nbrc/catalogue/NBRCMediumDetailServlet?NO=001509",1509)</f>
        <v>1509</v>
      </c>
      <c r="J493" s="30" t="s">
        <v>766</v>
      </c>
    </row>
    <row r="494" spans="1:10" x14ac:dyDescent="0.45">
      <c r="A494" s="28" t="s">
        <v>925</v>
      </c>
      <c r="B494" s="21">
        <v>114520</v>
      </c>
      <c r="C494" s="4" t="s">
        <v>783</v>
      </c>
      <c r="D494" s="4"/>
      <c r="E494" s="4" t="s">
        <v>775</v>
      </c>
      <c r="F494" s="29" t="s">
        <v>926</v>
      </c>
      <c r="G494" s="4" t="s">
        <v>764</v>
      </c>
      <c r="H494" s="42">
        <f>HYPERLINK("https://www.nite.go.jp/nbrc/catalogue/NBRCMediumDetailServlet?NO=001534",1534)</f>
        <v>1534</v>
      </c>
      <c r="I494" s="42">
        <f>HYPERLINK("https://www.nite.go.jp/nbrc/catalogue/NBRCMediumDetailServlet?NO=001535",1535)</f>
        <v>1535</v>
      </c>
      <c r="J494" s="30" t="s">
        <v>765</v>
      </c>
    </row>
    <row r="495" spans="1:10" ht="25.8" customHeight="1" x14ac:dyDescent="0.45">
      <c r="A495" s="24" t="s">
        <v>953</v>
      </c>
      <c r="B495" s="25">
        <v>115031</v>
      </c>
      <c r="C495" s="25" t="s">
        <v>709</v>
      </c>
      <c r="D495" s="25"/>
      <c r="E495" s="25" t="s">
        <v>775</v>
      </c>
      <c r="F495" s="31" t="s">
        <v>954</v>
      </c>
      <c r="G495" s="32" t="s">
        <v>37</v>
      </c>
      <c r="H495" s="43">
        <f>HYPERLINK("https://www.nite.go.jp/nbrc/catalogue/NBRCMediumDetailServlet?NO=001534",1534)</f>
        <v>1534</v>
      </c>
      <c r="I495" s="43">
        <f>HYPERLINK("https://www.nite.go.jp/nbrc/catalogue/NBRCMediumDetailServlet?NO=001535",1535)</f>
        <v>1535</v>
      </c>
      <c r="J495" s="27" t="s">
        <v>765</v>
      </c>
    </row>
    <row r="496" spans="1:10" ht="30" x14ac:dyDescent="0.45">
      <c r="A496" s="24" t="s">
        <v>955</v>
      </c>
      <c r="B496" s="25">
        <v>115032</v>
      </c>
      <c r="C496" s="25" t="s">
        <v>709</v>
      </c>
      <c r="D496" s="25"/>
      <c r="E496" s="25"/>
      <c r="F496" s="26" t="s">
        <v>956</v>
      </c>
      <c r="G496" s="32" t="s">
        <v>37</v>
      </c>
      <c r="H496" s="43">
        <f>HYPERLINK("https://www.nite.go.jp/nbrc/catalogue/NBRCMediumDetailServlet?NO=001534",1534)</f>
        <v>1534</v>
      </c>
      <c r="I496" s="43">
        <f>HYPERLINK("https://www.nite.go.jp/nbrc/catalogue/NBRCMediumDetailServlet?NO=001535",1535)</f>
        <v>1535</v>
      </c>
      <c r="J496" s="27" t="s">
        <v>765</v>
      </c>
    </row>
    <row r="497" spans="1:1" x14ac:dyDescent="0.45">
      <c r="A497" s="6" t="s">
        <v>915</v>
      </c>
    </row>
  </sheetData>
  <autoFilter ref="A2:J497" xr:uid="{FA6ABD16-B3BD-47AC-B3BC-63B5703755FD}"/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8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FC4CA-5C5E-48D7-9CE8-C1F179D1A863}">
  <sheetPr>
    <tabColor rgb="FF00B0F0"/>
    <pageSetUpPr fitToPage="1"/>
  </sheetPr>
  <dimension ref="A1:K302"/>
  <sheetViews>
    <sheetView tabSelected="1" view="pageBreakPreview" zoomScale="85" zoomScaleNormal="55" zoomScaleSheetLayoutView="102" workbookViewId="0">
      <pane ySplit="3" topLeftCell="A4" activePane="bottomLeft" state="frozen"/>
      <selection pane="bottomLeft" activeCell="A4" sqref="A4"/>
    </sheetView>
  </sheetViews>
  <sheetFormatPr defaultRowHeight="18" x14ac:dyDescent="0.45"/>
  <cols>
    <col min="1" max="1" width="28.5" style="39" customWidth="1"/>
    <col min="2" max="2" width="12" style="38" customWidth="1"/>
    <col min="3" max="3" width="7.3984375" style="38" customWidth="1"/>
    <col min="4" max="4" width="8.59765625" style="39" customWidth="1"/>
    <col min="5" max="5" width="28.3984375" style="39" customWidth="1"/>
    <col min="6" max="6" width="10.8984375" style="39" customWidth="1"/>
    <col min="7" max="8" width="11.69921875" style="39" customWidth="1"/>
    <col min="9" max="9" width="25.59765625" style="39" customWidth="1"/>
    <col min="10" max="10" width="17" style="1" customWidth="1"/>
    <col min="11" max="16384" width="8.796875" style="33"/>
  </cols>
  <sheetData>
    <row r="1" spans="1:11" x14ac:dyDescent="0.45">
      <c r="A1" s="52" t="s">
        <v>1271</v>
      </c>
    </row>
    <row r="2" spans="1:11" ht="40.200000000000003" customHeight="1" thickBot="1" x14ac:dyDescent="0.35">
      <c r="A2" s="84" t="s">
        <v>865</v>
      </c>
      <c r="B2" s="84"/>
      <c r="C2" s="84"/>
      <c r="D2" s="84"/>
      <c r="E2" s="84"/>
      <c r="F2" s="84"/>
      <c r="G2" s="84"/>
      <c r="H2" s="84"/>
      <c r="I2" s="84"/>
      <c r="J2" s="19" t="s">
        <v>1272</v>
      </c>
    </row>
    <row r="3" spans="1:11" ht="37.5" customHeight="1" thickBot="1" x14ac:dyDescent="0.5">
      <c r="A3" s="53" t="s">
        <v>992</v>
      </c>
      <c r="B3" s="54" t="s">
        <v>860</v>
      </c>
      <c r="C3" s="54" t="s">
        <v>991</v>
      </c>
      <c r="D3" s="55" t="s">
        <v>869</v>
      </c>
      <c r="E3" s="54" t="s">
        <v>871</v>
      </c>
      <c r="F3" s="56" t="s">
        <v>870</v>
      </c>
      <c r="G3" s="56" t="s">
        <v>984</v>
      </c>
      <c r="H3" s="56" t="s">
        <v>986</v>
      </c>
      <c r="I3" s="56" t="s">
        <v>777</v>
      </c>
      <c r="J3" s="57" t="s">
        <v>863</v>
      </c>
    </row>
    <row r="4" spans="1:11" x14ac:dyDescent="0.45">
      <c r="A4" s="66" t="s">
        <v>1176</v>
      </c>
      <c r="B4" s="58" t="s">
        <v>1173</v>
      </c>
      <c r="C4" s="58">
        <v>1</v>
      </c>
      <c r="D4" s="59" t="s">
        <v>965</v>
      </c>
      <c r="E4" s="59" t="s">
        <v>1172</v>
      </c>
      <c r="F4" s="59" t="s">
        <v>764</v>
      </c>
      <c r="G4" s="60">
        <f>HYPERLINK("https://www.nite.go.jp/nbrc/catalogue/NBRCMediumDetailServlet?NO=001480",1480)</f>
        <v>1480</v>
      </c>
      <c r="H4" s="60"/>
      <c r="I4" s="61" t="s">
        <v>958</v>
      </c>
      <c r="J4" s="67" t="str">
        <f>HYPERLINK("https://www.nite.go.jp/nbrc/dbrp/dataview?dataId=ANGE0000500028060","ダウンロード")</f>
        <v>ダウンロード</v>
      </c>
      <c r="K4" s="45"/>
    </row>
    <row r="5" spans="1:11" x14ac:dyDescent="0.45">
      <c r="A5" s="68" t="s">
        <v>1176</v>
      </c>
      <c r="B5" s="62" t="s">
        <v>1174</v>
      </c>
      <c r="C5" s="62">
        <v>1</v>
      </c>
      <c r="D5" s="63" t="s">
        <v>965</v>
      </c>
      <c r="E5" s="63" t="s">
        <v>1172</v>
      </c>
      <c r="F5" s="63" t="s">
        <v>764</v>
      </c>
      <c r="G5" s="64">
        <f>HYPERLINK("https://www.nite.go.jp/nbrc/catalogue/NBRCMediumDetailServlet?NO=001480",1480)</f>
        <v>1480</v>
      </c>
      <c r="H5" s="64"/>
      <c r="I5" s="65" t="s">
        <v>958</v>
      </c>
      <c r="J5" s="69" t="str">
        <f>HYPERLINK("https://www.nite.go.jp/nbrc/dbrp/dataview?dataId=ANGE0000500028061","ダウンロード")</f>
        <v>ダウンロード</v>
      </c>
      <c r="K5" s="45"/>
    </row>
    <row r="6" spans="1:11" x14ac:dyDescent="0.45">
      <c r="A6" s="70" t="s">
        <v>1177</v>
      </c>
      <c r="B6" s="46" t="s">
        <v>993</v>
      </c>
      <c r="C6" s="46" t="s">
        <v>989</v>
      </c>
      <c r="D6" s="47" t="s">
        <v>965</v>
      </c>
      <c r="E6" s="47" t="s">
        <v>1172</v>
      </c>
      <c r="F6" s="47" t="s">
        <v>764</v>
      </c>
      <c r="G6" s="48">
        <f>HYPERLINK("https://www.nite.go.jp/nbrc/catalogue/NBRCMediumDetailServlet?NO=000310",310)</f>
        <v>310</v>
      </c>
      <c r="H6" s="48"/>
      <c r="I6" s="49" t="s">
        <v>958</v>
      </c>
      <c r="J6" s="71" t="str">
        <f t="shared" ref="J6" si="0">HYPERLINK("mailto:rd@nite.go.jp","コチラにお問い合わせ下さい。")</f>
        <v>コチラにお問い合わせ下さい。</v>
      </c>
      <c r="K6" s="45"/>
    </row>
    <row r="7" spans="1:11" x14ac:dyDescent="0.45">
      <c r="A7" s="72" t="s">
        <v>1176</v>
      </c>
      <c r="B7" s="34" t="s">
        <v>845</v>
      </c>
      <c r="C7" s="34">
        <v>1</v>
      </c>
      <c r="D7" s="35" t="s">
        <v>769</v>
      </c>
      <c r="E7" s="35" t="s">
        <v>829</v>
      </c>
      <c r="F7" s="35" t="s">
        <v>764</v>
      </c>
      <c r="G7" s="44">
        <f>HYPERLINK("https://www.nite.go.jp/nbrc/catalogue/NBRCMediumDetailServlet?NO=001480",1480)</f>
        <v>1480</v>
      </c>
      <c r="H7" s="44"/>
      <c r="I7" s="36" t="s">
        <v>958</v>
      </c>
      <c r="J7" s="73" t="str">
        <f>HYPERLINK("https://www.nite.go.jp/nbrc/dbrp/dataview?dataId=ANGE0000500030593","ダウンロード")</f>
        <v>ダウンロード</v>
      </c>
      <c r="K7" s="45"/>
    </row>
    <row r="8" spans="1:11" x14ac:dyDescent="0.45">
      <c r="A8" s="72" t="s">
        <v>1176</v>
      </c>
      <c r="B8" s="34" t="s">
        <v>844</v>
      </c>
      <c r="C8" s="34">
        <v>1</v>
      </c>
      <c r="D8" s="35" t="s">
        <v>769</v>
      </c>
      <c r="E8" s="35" t="s">
        <v>811</v>
      </c>
      <c r="F8" s="35" t="s">
        <v>764</v>
      </c>
      <c r="G8" s="44">
        <f>HYPERLINK("https://www.nite.go.jp/nbrc/catalogue/NBRCMediumDetailServlet?NO=001480",1480)</f>
        <v>1480</v>
      </c>
      <c r="H8" s="44"/>
      <c r="I8" s="36" t="s">
        <v>958</v>
      </c>
      <c r="J8" s="73" t="str">
        <f>HYPERLINK("https://www.nite.go.jp/nbrc/dbrp/dataview?dataId=ANGE0000500030594","ダウンロード")</f>
        <v>ダウンロード</v>
      </c>
      <c r="K8" s="45"/>
    </row>
    <row r="9" spans="1:11" x14ac:dyDescent="0.45">
      <c r="A9" s="72" t="s">
        <v>1176</v>
      </c>
      <c r="B9" s="34" t="s">
        <v>843</v>
      </c>
      <c r="C9" s="34">
        <v>1</v>
      </c>
      <c r="D9" s="35" t="s">
        <v>769</v>
      </c>
      <c r="E9" s="35" t="s">
        <v>811</v>
      </c>
      <c r="F9" s="35" t="s">
        <v>764</v>
      </c>
      <c r="G9" s="44">
        <f>HYPERLINK("https://www.nite.go.jp/nbrc/catalogue/NBRCMediumDetailServlet?NO=001509",1509)</f>
        <v>1509</v>
      </c>
      <c r="H9" s="44"/>
      <c r="I9" s="36" t="s">
        <v>958</v>
      </c>
      <c r="J9" s="73" t="str">
        <f>HYPERLINK("https://www.nite.go.jp/nbrc/dbrp/dataview?dataId=ANGE0000500030595","ダウンロード")</f>
        <v>ダウンロード</v>
      </c>
      <c r="K9" s="45"/>
    </row>
    <row r="10" spans="1:11" x14ac:dyDescent="0.45">
      <c r="A10" s="72" t="s">
        <v>1176</v>
      </c>
      <c r="B10" s="34" t="s">
        <v>842</v>
      </c>
      <c r="C10" s="34">
        <v>1</v>
      </c>
      <c r="D10" s="35" t="s">
        <v>769</v>
      </c>
      <c r="E10" s="35" t="s">
        <v>1169</v>
      </c>
      <c r="F10" s="35" t="s">
        <v>764</v>
      </c>
      <c r="G10" s="44">
        <f>HYPERLINK("https://www.nite.go.jp/nbrc/catalogue/NBRCMediumDetailServlet?NO=001509",1509)</f>
        <v>1509</v>
      </c>
      <c r="H10" s="44"/>
      <c r="I10" s="36" t="s">
        <v>958</v>
      </c>
      <c r="J10" s="73" t="str">
        <f>HYPERLINK("https://www.nite.go.jp/nbrc/dbrp/dataview?dataId=ANGE0000500030596","ダウンロード")</f>
        <v>ダウンロード</v>
      </c>
      <c r="K10" s="45"/>
    </row>
    <row r="11" spans="1:11" x14ac:dyDescent="0.45">
      <c r="A11" s="70" t="s">
        <v>1176</v>
      </c>
      <c r="B11" s="46" t="s">
        <v>994</v>
      </c>
      <c r="C11" s="46" t="s">
        <v>988</v>
      </c>
      <c r="D11" s="47" t="s">
        <v>965</v>
      </c>
      <c r="E11" s="47" t="s">
        <v>1170</v>
      </c>
      <c r="F11" s="47" t="s">
        <v>764</v>
      </c>
      <c r="G11" s="48">
        <f>HYPERLINK("https://www.nite.go.jp/nbrc/catalogue/NBRCMediumDetailServlet?NO=001509",1509)</f>
        <v>1509</v>
      </c>
      <c r="H11" s="48"/>
      <c r="I11" s="49" t="s">
        <v>958</v>
      </c>
      <c r="J11" s="71" t="str">
        <f t="shared" ref="J11:J12" si="1">HYPERLINK("mailto:rd@nite.go.jp","コチラにお問い合わせ下さい。")</f>
        <v>コチラにお問い合わせ下さい。</v>
      </c>
      <c r="K11" s="45"/>
    </row>
    <row r="12" spans="1:11" x14ac:dyDescent="0.45">
      <c r="A12" s="70" t="s">
        <v>1176</v>
      </c>
      <c r="B12" s="46" t="s">
        <v>995</v>
      </c>
      <c r="C12" s="46" t="s">
        <v>988</v>
      </c>
      <c r="D12" s="47" t="s">
        <v>965</v>
      </c>
      <c r="E12" s="47" t="s">
        <v>1170</v>
      </c>
      <c r="F12" s="47" t="s">
        <v>764</v>
      </c>
      <c r="G12" s="48">
        <f>HYPERLINK("https://www.nite.go.jp/nbrc/catalogue/NBRCMediumDetailServlet?NO=001509",1509)</f>
        <v>1509</v>
      </c>
      <c r="H12" s="48"/>
      <c r="I12" s="49" t="s">
        <v>958</v>
      </c>
      <c r="J12" s="71" t="str">
        <f t="shared" si="1"/>
        <v>コチラにお問い合わせ下さい。</v>
      </c>
      <c r="K12" s="45"/>
    </row>
    <row r="13" spans="1:11" x14ac:dyDescent="0.45">
      <c r="A13" s="72" t="s">
        <v>1176</v>
      </c>
      <c r="B13" s="34" t="s">
        <v>841</v>
      </c>
      <c r="C13" s="34">
        <v>1</v>
      </c>
      <c r="D13" s="35" t="s">
        <v>769</v>
      </c>
      <c r="E13" s="35" t="s">
        <v>801</v>
      </c>
      <c r="F13" s="35" t="s">
        <v>764</v>
      </c>
      <c r="G13" s="44">
        <f>HYPERLINK("https://www.nite.go.jp/nbrc/catalogue/NBRCMediumDetailServlet?NO=001480",1480)</f>
        <v>1480</v>
      </c>
      <c r="H13" s="44"/>
      <c r="I13" s="36" t="s">
        <v>958</v>
      </c>
      <c r="J13" s="73" t="str">
        <f>HYPERLINK("https://www.nite.go.jp/nbrc/dbrp/dataview?dataId=ANGE0000500030597","ダウンロード")</f>
        <v>ダウンロード</v>
      </c>
      <c r="K13" s="45"/>
    </row>
    <row r="14" spans="1:11" x14ac:dyDescent="0.45">
      <c r="A14" s="72" t="s">
        <v>1176</v>
      </c>
      <c r="B14" s="34" t="s">
        <v>840</v>
      </c>
      <c r="C14" s="34">
        <v>1</v>
      </c>
      <c r="D14" s="35" t="s">
        <v>769</v>
      </c>
      <c r="E14" s="35" t="s">
        <v>801</v>
      </c>
      <c r="F14" s="35" t="s">
        <v>764</v>
      </c>
      <c r="G14" s="44">
        <f t="shared" ref="G14:G56" si="2">HYPERLINK("https://www.nite.go.jp/nbrc/catalogue/NBRCMediumDetailServlet?NO=001509",1509)</f>
        <v>1509</v>
      </c>
      <c r="H14" s="44"/>
      <c r="I14" s="36" t="s">
        <v>958</v>
      </c>
      <c r="J14" s="73" t="str">
        <f>HYPERLINK("https://www.nite.go.jp/nbrc/dbrp/dataview?dataId=ANGE0000500030598","ダウンロード")</f>
        <v>ダウンロード</v>
      </c>
      <c r="K14" s="45"/>
    </row>
    <row r="15" spans="1:11" x14ac:dyDescent="0.45">
      <c r="A15" s="70" t="s">
        <v>1178</v>
      </c>
      <c r="B15" s="46" t="s">
        <v>996</v>
      </c>
      <c r="C15" s="46" t="s">
        <v>989</v>
      </c>
      <c r="D15" s="47" t="s">
        <v>783</v>
      </c>
      <c r="E15" s="47" t="s">
        <v>1171</v>
      </c>
      <c r="F15" s="47" t="s">
        <v>764</v>
      </c>
      <c r="G15" s="48">
        <f t="shared" si="2"/>
        <v>1509</v>
      </c>
      <c r="H15" s="48"/>
      <c r="I15" s="49" t="s">
        <v>958</v>
      </c>
      <c r="J15" s="71" t="str">
        <f t="shared" ref="J15:J46" si="3">HYPERLINK("mailto:rd@nite.go.jp","コチラにお問い合わせ下さい。")</f>
        <v>コチラにお問い合わせ下さい。</v>
      </c>
      <c r="K15" s="45"/>
    </row>
    <row r="16" spans="1:11" x14ac:dyDescent="0.45">
      <c r="A16" s="70" t="s">
        <v>1179</v>
      </c>
      <c r="B16" s="46" t="s">
        <v>997</v>
      </c>
      <c r="C16" s="46" t="s">
        <v>988</v>
      </c>
      <c r="D16" s="47" t="s">
        <v>783</v>
      </c>
      <c r="E16" s="47" t="s">
        <v>1169</v>
      </c>
      <c r="F16" s="47" t="s">
        <v>764</v>
      </c>
      <c r="G16" s="48">
        <f t="shared" si="2"/>
        <v>1509</v>
      </c>
      <c r="H16" s="48"/>
      <c r="I16" s="49" t="s">
        <v>958</v>
      </c>
      <c r="J16" s="71" t="str">
        <f t="shared" si="3"/>
        <v>コチラにお問い合わせ下さい。</v>
      </c>
      <c r="K16" s="45"/>
    </row>
    <row r="17" spans="1:11" x14ac:dyDescent="0.45">
      <c r="A17" s="70" t="s">
        <v>1179</v>
      </c>
      <c r="B17" s="46" t="s">
        <v>998</v>
      </c>
      <c r="C17" s="46" t="s">
        <v>988</v>
      </c>
      <c r="D17" s="47" t="s">
        <v>783</v>
      </c>
      <c r="E17" s="47" t="s">
        <v>1169</v>
      </c>
      <c r="F17" s="47" t="s">
        <v>764</v>
      </c>
      <c r="G17" s="48">
        <f t="shared" si="2"/>
        <v>1509</v>
      </c>
      <c r="H17" s="48"/>
      <c r="I17" s="49" t="s">
        <v>958</v>
      </c>
      <c r="J17" s="71" t="str">
        <f t="shared" si="3"/>
        <v>コチラにお問い合わせ下さい。</v>
      </c>
      <c r="K17" s="45"/>
    </row>
    <row r="18" spans="1:11" x14ac:dyDescent="0.45">
      <c r="A18" s="70" t="s">
        <v>1179</v>
      </c>
      <c r="B18" s="46" t="s">
        <v>999</v>
      </c>
      <c r="C18" s="46" t="s">
        <v>988</v>
      </c>
      <c r="D18" s="47" t="s">
        <v>783</v>
      </c>
      <c r="E18" s="47" t="s">
        <v>1169</v>
      </c>
      <c r="F18" s="47" t="s">
        <v>764</v>
      </c>
      <c r="G18" s="48">
        <f t="shared" si="2"/>
        <v>1509</v>
      </c>
      <c r="H18" s="48"/>
      <c r="I18" s="49" t="s">
        <v>958</v>
      </c>
      <c r="J18" s="71" t="str">
        <f t="shared" si="3"/>
        <v>コチラにお問い合わせ下さい。</v>
      </c>
      <c r="K18" s="45"/>
    </row>
    <row r="19" spans="1:11" x14ac:dyDescent="0.45">
      <c r="A19" s="70" t="s">
        <v>1179</v>
      </c>
      <c r="B19" s="46" t="s">
        <v>1000</v>
      </c>
      <c r="C19" s="46" t="s">
        <v>988</v>
      </c>
      <c r="D19" s="47" t="s">
        <v>783</v>
      </c>
      <c r="E19" s="47" t="s">
        <v>1171</v>
      </c>
      <c r="F19" s="47" t="s">
        <v>764</v>
      </c>
      <c r="G19" s="48">
        <f t="shared" si="2"/>
        <v>1509</v>
      </c>
      <c r="H19" s="48"/>
      <c r="I19" s="49" t="s">
        <v>958</v>
      </c>
      <c r="J19" s="71" t="str">
        <f t="shared" si="3"/>
        <v>コチラにお問い合わせ下さい。</v>
      </c>
      <c r="K19" s="45"/>
    </row>
    <row r="20" spans="1:11" x14ac:dyDescent="0.45">
      <c r="A20" s="70" t="s">
        <v>1180</v>
      </c>
      <c r="B20" s="46" t="s">
        <v>1001</v>
      </c>
      <c r="C20" s="46" t="s">
        <v>989</v>
      </c>
      <c r="D20" s="47" t="s">
        <v>783</v>
      </c>
      <c r="E20" s="47" t="s">
        <v>1170</v>
      </c>
      <c r="F20" s="47" t="s">
        <v>764</v>
      </c>
      <c r="G20" s="48">
        <f t="shared" si="2"/>
        <v>1509</v>
      </c>
      <c r="H20" s="48"/>
      <c r="I20" s="49" t="s">
        <v>958</v>
      </c>
      <c r="J20" s="71" t="str">
        <f t="shared" si="3"/>
        <v>コチラにお問い合わせ下さい。</v>
      </c>
      <c r="K20" s="45"/>
    </row>
    <row r="21" spans="1:11" x14ac:dyDescent="0.45">
      <c r="A21" s="70" t="s">
        <v>1180</v>
      </c>
      <c r="B21" s="46" t="s">
        <v>1002</v>
      </c>
      <c r="C21" s="46" t="s">
        <v>989</v>
      </c>
      <c r="D21" s="47" t="s">
        <v>783</v>
      </c>
      <c r="E21" s="47" t="s">
        <v>1169</v>
      </c>
      <c r="F21" s="47" t="s">
        <v>764</v>
      </c>
      <c r="G21" s="48">
        <f t="shared" si="2"/>
        <v>1509</v>
      </c>
      <c r="H21" s="48"/>
      <c r="I21" s="49" t="s">
        <v>958</v>
      </c>
      <c r="J21" s="71" t="str">
        <f t="shared" si="3"/>
        <v>コチラにお問い合わせ下さい。</v>
      </c>
      <c r="K21" s="45"/>
    </row>
    <row r="22" spans="1:11" x14ac:dyDescent="0.45">
      <c r="A22" s="70" t="s">
        <v>1180</v>
      </c>
      <c r="B22" s="46" t="s">
        <v>1003</v>
      </c>
      <c r="C22" s="46" t="s">
        <v>989</v>
      </c>
      <c r="D22" s="47" t="s">
        <v>783</v>
      </c>
      <c r="E22" s="47" t="s">
        <v>1169</v>
      </c>
      <c r="F22" s="47" t="s">
        <v>764</v>
      </c>
      <c r="G22" s="48">
        <f t="shared" si="2"/>
        <v>1509</v>
      </c>
      <c r="H22" s="48"/>
      <c r="I22" s="49" t="s">
        <v>958</v>
      </c>
      <c r="J22" s="71" t="str">
        <f t="shared" si="3"/>
        <v>コチラにお問い合わせ下さい。</v>
      </c>
      <c r="K22" s="45"/>
    </row>
    <row r="23" spans="1:11" x14ac:dyDescent="0.45">
      <c r="A23" s="70" t="s">
        <v>1180</v>
      </c>
      <c r="B23" s="46" t="s">
        <v>1004</v>
      </c>
      <c r="C23" s="46" t="s">
        <v>988</v>
      </c>
      <c r="D23" s="47" t="s">
        <v>783</v>
      </c>
      <c r="E23" s="47" t="s">
        <v>1171</v>
      </c>
      <c r="F23" s="47" t="s">
        <v>764</v>
      </c>
      <c r="G23" s="48">
        <f t="shared" si="2"/>
        <v>1509</v>
      </c>
      <c r="H23" s="48"/>
      <c r="I23" s="49" t="s">
        <v>958</v>
      </c>
      <c r="J23" s="71" t="str">
        <f t="shared" si="3"/>
        <v>コチラにお問い合わせ下さい。</v>
      </c>
      <c r="K23" s="45"/>
    </row>
    <row r="24" spans="1:11" x14ac:dyDescent="0.45">
      <c r="A24" s="70" t="s">
        <v>1180</v>
      </c>
      <c r="B24" s="46" t="s">
        <v>1005</v>
      </c>
      <c r="C24" s="46" t="s">
        <v>988</v>
      </c>
      <c r="D24" s="47" t="s">
        <v>783</v>
      </c>
      <c r="E24" s="47" t="s">
        <v>1171</v>
      </c>
      <c r="F24" s="47" t="s">
        <v>764</v>
      </c>
      <c r="G24" s="48">
        <f t="shared" si="2"/>
        <v>1509</v>
      </c>
      <c r="H24" s="48"/>
      <c r="I24" s="49" t="s">
        <v>958</v>
      </c>
      <c r="J24" s="71" t="str">
        <f t="shared" si="3"/>
        <v>コチラにお問い合わせ下さい。</v>
      </c>
      <c r="K24" s="45"/>
    </row>
    <row r="25" spans="1:11" x14ac:dyDescent="0.45">
      <c r="A25" s="70" t="s">
        <v>1180</v>
      </c>
      <c r="B25" s="46" t="s">
        <v>1006</v>
      </c>
      <c r="C25" s="46" t="s">
        <v>988</v>
      </c>
      <c r="D25" s="47" t="s">
        <v>783</v>
      </c>
      <c r="E25" s="47" t="s">
        <v>1171</v>
      </c>
      <c r="F25" s="47" t="s">
        <v>764</v>
      </c>
      <c r="G25" s="48">
        <f t="shared" si="2"/>
        <v>1509</v>
      </c>
      <c r="H25" s="48"/>
      <c r="I25" s="49" t="s">
        <v>958</v>
      </c>
      <c r="J25" s="71" t="str">
        <f t="shared" si="3"/>
        <v>コチラにお問い合わせ下さい。</v>
      </c>
      <c r="K25" s="45"/>
    </row>
    <row r="26" spans="1:11" x14ac:dyDescent="0.45">
      <c r="A26" s="70" t="s">
        <v>1180</v>
      </c>
      <c r="B26" s="46" t="s">
        <v>1007</v>
      </c>
      <c r="C26" s="46" t="s">
        <v>988</v>
      </c>
      <c r="D26" s="47" t="s">
        <v>783</v>
      </c>
      <c r="E26" s="47" t="s">
        <v>1171</v>
      </c>
      <c r="F26" s="47" t="s">
        <v>764</v>
      </c>
      <c r="G26" s="48">
        <f t="shared" si="2"/>
        <v>1509</v>
      </c>
      <c r="H26" s="48"/>
      <c r="I26" s="49" t="s">
        <v>958</v>
      </c>
      <c r="J26" s="71" t="str">
        <f t="shared" si="3"/>
        <v>コチラにお問い合わせ下さい。</v>
      </c>
      <c r="K26" s="45"/>
    </row>
    <row r="27" spans="1:11" x14ac:dyDescent="0.45">
      <c r="A27" s="70" t="s">
        <v>1180</v>
      </c>
      <c r="B27" s="46" t="s">
        <v>1008</v>
      </c>
      <c r="C27" s="46" t="s">
        <v>988</v>
      </c>
      <c r="D27" s="47" t="s">
        <v>783</v>
      </c>
      <c r="E27" s="47" t="s">
        <v>1171</v>
      </c>
      <c r="F27" s="47" t="s">
        <v>764</v>
      </c>
      <c r="G27" s="48">
        <f t="shared" si="2"/>
        <v>1509</v>
      </c>
      <c r="H27" s="48"/>
      <c r="I27" s="49" t="s">
        <v>958</v>
      </c>
      <c r="J27" s="71" t="str">
        <f t="shared" si="3"/>
        <v>コチラにお問い合わせ下さい。</v>
      </c>
      <c r="K27" s="45"/>
    </row>
    <row r="28" spans="1:11" x14ac:dyDescent="0.45">
      <c r="A28" s="70" t="s">
        <v>1180</v>
      </c>
      <c r="B28" s="46" t="s">
        <v>1009</v>
      </c>
      <c r="C28" s="46" t="s">
        <v>988</v>
      </c>
      <c r="D28" s="47" t="s">
        <v>783</v>
      </c>
      <c r="E28" s="47" t="s">
        <v>1171</v>
      </c>
      <c r="F28" s="47" t="s">
        <v>764</v>
      </c>
      <c r="G28" s="48">
        <f t="shared" si="2"/>
        <v>1509</v>
      </c>
      <c r="H28" s="48"/>
      <c r="I28" s="49" t="s">
        <v>958</v>
      </c>
      <c r="J28" s="71" t="str">
        <f t="shared" si="3"/>
        <v>コチラにお問い合わせ下さい。</v>
      </c>
      <c r="K28" s="45"/>
    </row>
    <row r="29" spans="1:11" x14ac:dyDescent="0.45">
      <c r="A29" s="70" t="s">
        <v>1180</v>
      </c>
      <c r="B29" s="46" t="s">
        <v>1010</v>
      </c>
      <c r="C29" s="46" t="s">
        <v>989</v>
      </c>
      <c r="D29" s="47" t="s">
        <v>783</v>
      </c>
      <c r="E29" s="47" t="s">
        <v>1169</v>
      </c>
      <c r="F29" s="47" t="s">
        <v>764</v>
      </c>
      <c r="G29" s="48">
        <f t="shared" si="2"/>
        <v>1509</v>
      </c>
      <c r="H29" s="48"/>
      <c r="I29" s="49" t="s">
        <v>958</v>
      </c>
      <c r="J29" s="71" t="str">
        <f t="shared" si="3"/>
        <v>コチラにお問い合わせ下さい。</v>
      </c>
      <c r="K29" s="45"/>
    </row>
    <row r="30" spans="1:11" x14ac:dyDescent="0.45">
      <c r="A30" s="70" t="s">
        <v>1180</v>
      </c>
      <c r="B30" s="46" t="s">
        <v>1011</v>
      </c>
      <c r="C30" s="46" t="s">
        <v>988</v>
      </c>
      <c r="D30" s="47" t="s">
        <v>783</v>
      </c>
      <c r="E30" s="47" t="s">
        <v>1171</v>
      </c>
      <c r="F30" s="47" t="s">
        <v>764</v>
      </c>
      <c r="G30" s="48">
        <f t="shared" si="2"/>
        <v>1509</v>
      </c>
      <c r="H30" s="48"/>
      <c r="I30" s="49" t="s">
        <v>958</v>
      </c>
      <c r="J30" s="71" t="str">
        <f t="shared" si="3"/>
        <v>コチラにお問い合わせ下さい。</v>
      </c>
      <c r="K30" s="45"/>
    </row>
    <row r="31" spans="1:11" x14ac:dyDescent="0.45">
      <c r="A31" s="70" t="s">
        <v>1181</v>
      </c>
      <c r="B31" s="46" t="s">
        <v>1012</v>
      </c>
      <c r="C31" s="46" t="s">
        <v>989</v>
      </c>
      <c r="D31" s="47" t="s">
        <v>783</v>
      </c>
      <c r="E31" s="47" t="s">
        <v>1171</v>
      </c>
      <c r="F31" s="47" t="s">
        <v>764</v>
      </c>
      <c r="G31" s="48">
        <f t="shared" si="2"/>
        <v>1509</v>
      </c>
      <c r="H31" s="48"/>
      <c r="I31" s="49" t="s">
        <v>958</v>
      </c>
      <c r="J31" s="71" t="str">
        <f t="shared" si="3"/>
        <v>コチラにお問い合わせ下さい。</v>
      </c>
      <c r="K31" s="45"/>
    </row>
    <row r="32" spans="1:11" x14ac:dyDescent="0.45">
      <c r="A32" s="70" t="s">
        <v>1182</v>
      </c>
      <c r="B32" s="46" t="s">
        <v>1013</v>
      </c>
      <c r="C32" s="46" t="s">
        <v>989</v>
      </c>
      <c r="D32" s="47" t="s">
        <v>783</v>
      </c>
      <c r="E32" s="47" t="s">
        <v>1171</v>
      </c>
      <c r="F32" s="47" t="s">
        <v>764</v>
      </c>
      <c r="G32" s="48">
        <f t="shared" si="2"/>
        <v>1509</v>
      </c>
      <c r="H32" s="48"/>
      <c r="I32" s="49" t="s">
        <v>958</v>
      </c>
      <c r="J32" s="71" t="str">
        <f t="shared" si="3"/>
        <v>コチラにお問い合わせ下さい。</v>
      </c>
      <c r="K32" s="45"/>
    </row>
    <row r="33" spans="1:11" x14ac:dyDescent="0.45">
      <c r="A33" s="70" t="s">
        <v>1182</v>
      </c>
      <c r="B33" s="46" t="s">
        <v>1014</v>
      </c>
      <c r="C33" s="46" t="s">
        <v>989</v>
      </c>
      <c r="D33" s="47" t="s">
        <v>783</v>
      </c>
      <c r="E33" s="47" t="s">
        <v>1171</v>
      </c>
      <c r="F33" s="47" t="s">
        <v>764</v>
      </c>
      <c r="G33" s="48">
        <f t="shared" si="2"/>
        <v>1509</v>
      </c>
      <c r="H33" s="48"/>
      <c r="I33" s="49" t="s">
        <v>958</v>
      </c>
      <c r="J33" s="71" t="str">
        <f t="shared" si="3"/>
        <v>コチラにお問い合わせ下さい。</v>
      </c>
      <c r="K33" s="45"/>
    </row>
    <row r="34" spans="1:11" x14ac:dyDescent="0.45">
      <c r="A34" s="70" t="s">
        <v>1182</v>
      </c>
      <c r="B34" s="46" t="s">
        <v>1015</v>
      </c>
      <c r="C34" s="46" t="s">
        <v>989</v>
      </c>
      <c r="D34" s="47" t="s">
        <v>783</v>
      </c>
      <c r="E34" s="47" t="s">
        <v>1171</v>
      </c>
      <c r="F34" s="47" t="s">
        <v>764</v>
      </c>
      <c r="G34" s="48">
        <f t="shared" si="2"/>
        <v>1509</v>
      </c>
      <c r="H34" s="48"/>
      <c r="I34" s="49" t="s">
        <v>958</v>
      </c>
      <c r="J34" s="71" t="str">
        <f t="shared" si="3"/>
        <v>コチラにお問い合わせ下さい。</v>
      </c>
      <c r="K34" s="45"/>
    </row>
    <row r="35" spans="1:11" x14ac:dyDescent="0.45">
      <c r="A35" s="70" t="s">
        <v>1183</v>
      </c>
      <c r="B35" s="46" t="s">
        <v>1016</v>
      </c>
      <c r="C35" s="46" t="s">
        <v>988</v>
      </c>
      <c r="D35" s="47" t="s">
        <v>783</v>
      </c>
      <c r="E35" s="47" t="s">
        <v>1171</v>
      </c>
      <c r="F35" s="47" t="s">
        <v>764</v>
      </c>
      <c r="G35" s="48">
        <f t="shared" si="2"/>
        <v>1509</v>
      </c>
      <c r="H35" s="48"/>
      <c r="I35" s="49" t="s">
        <v>958</v>
      </c>
      <c r="J35" s="71" t="str">
        <f t="shared" si="3"/>
        <v>コチラにお問い合わせ下さい。</v>
      </c>
      <c r="K35" s="45"/>
    </row>
    <row r="36" spans="1:11" x14ac:dyDescent="0.45">
      <c r="A36" s="70" t="s">
        <v>1183</v>
      </c>
      <c r="B36" s="46" t="s">
        <v>1017</v>
      </c>
      <c r="C36" s="46" t="s">
        <v>988</v>
      </c>
      <c r="D36" s="47" t="s">
        <v>783</v>
      </c>
      <c r="E36" s="47" t="s">
        <v>1170</v>
      </c>
      <c r="F36" s="47" t="s">
        <v>764</v>
      </c>
      <c r="G36" s="48">
        <f t="shared" si="2"/>
        <v>1509</v>
      </c>
      <c r="H36" s="48"/>
      <c r="I36" s="49" t="s">
        <v>958</v>
      </c>
      <c r="J36" s="71" t="str">
        <f t="shared" si="3"/>
        <v>コチラにお問い合わせ下さい。</v>
      </c>
      <c r="K36" s="45"/>
    </row>
    <row r="37" spans="1:11" x14ac:dyDescent="0.45">
      <c r="A37" s="70" t="s">
        <v>1183</v>
      </c>
      <c r="B37" s="46" t="s">
        <v>1018</v>
      </c>
      <c r="C37" s="46" t="s">
        <v>988</v>
      </c>
      <c r="D37" s="47" t="s">
        <v>783</v>
      </c>
      <c r="E37" s="47" t="s">
        <v>1171</v>
      </c>
      <c r="F37" s="47" t="s">
        <v>764</v>
      </c>
      <c r="G37" s="48">
        <f t="shared" si="2"/>
        <v>1509</v>
      </c>
      <c r="H37" s="48"/>
      <c r="I37" s="49" t="s">
        <v>958</v>
      </c>
      <c r="J37" s="71" t="str">
        <f t="shared" si="3"/>
        <v>コチラにお問い合わせ下さい。</v>
      </c>
      <c r="K37" s="45"/>
    </row>
    <row r="38" spans="1:11" x14ac:dyDescent="0.45">
      <c r="A38" s="70" t="s">
        <v>1183</v>
      </c>
      <c r="B38" s="46" t="s">
        <v>1019</v>
      </c>
      <c r="C38" s="46" t="s">
        <v>988</v>
      </c>
      <c r="D38" s="47" t="s">
        <v>783</v>
      </c>
      <c r="E38" s="47" t="s">
        <v>1171</v>
      </c>
      <c r="F38" s="47" t="s">
        <v>764</v>
      </c>
      <c r="G38" s="48">
        <f t="shared" si="2"/>
        <v>1509</v>
      </c>
      <c r="H38" s="48"/>
      <c r="I38" s="49" t="s">
        <v>958</v>
      </c>
      <c r="J38" s="71" t="str">
        <f t="shared" si="3"/>
        <v>コチラにお問い合わせ下さい。</v>
      </c>
      <c r="K38" s="45"/>
    </row>
    <row r="39" spans="1:11" x14ac:dyDescent="0.45">
      <c r="A39" s="70" t="s">
        <v>1183</v>
      </c>
      <c r="B39" s="46" t="s">
        <v>1020</v>
      </c>
      <c r="C39" s="46" t="s">
        <v>988</v>
      </c>
      <c r="D39" s="47" t="s">
        <v>783</v>
      </c>
      <c r="E39" s="47" t="s">
        <v>1171</v>
      </c>
      <c r="F39" s="47" t="s">
        <v>764</v>
      </c>
      <c r="G39" s="48">
        <f t="shared" si="2"/>
        <v>1509</v>
      </c>
      <c r="H39" s="48"/>
      <c r="I39" s="49" t="s">
        <v>958</v>
      </c>
      <c r="J39" s="71" t="str">
        <f t="shared" si="3"/>
        <v>コチラにお問い合わせ下さい。</v>
      </c>
      <c r="K39" s="45"/>
    </row>
    <row r="40" spans="1:11" x14ac:dyDescent="0.45">
      <c r="A40" s="70" t="s">
        <v>1183</v>
      </c>
      <c r="B40" s="46" t="s">
        <v>1021</v>
      </c>
      <c r="C40" s="46" t="s">
        <v>988</v>
      </c>
      <c r="D40" s="47" t="s">
        <v>783</v>
      </c>
      <c r="E40" s="47" t="s">
        <v>1171</v>
      </c>
      <c r="F40" s="47" t="s">
        <v>764</v>
      </c>
      <c r="G40" s="48">
        <f t="shared" si="2"/>
        <v>1509</v>
      </c>
      <c r="H40" s="48"/>
      <c r="I40" s="49" t="s">
        <v>958</v>
      </c>
      <c r="J40" s="71" t="str">
        <f t="shared" si="3"/>
        <v>コチラにお問い合わせ下さい。</v>
      </c>
      <c r="K40" s="45"/>
    </row>
    <row r="41" spans="1:11" x14ac:dyDescent="0.45">
      <c r="A41" s="70" t="s">
        <v>1183</v>
      </c>
      <c r="B41" s="46" t="s">
        <v>1022</v>
      </c>
      <c r="C41" s="46" t="s">
        <v>988</v>
      </c>
      <c r="D41" s="47" t="s">
        <v>783</v>
      </c>
      <c r="E41" s="47" t="s">
        <v>1171</v>
      </c>
      <c r="F41" s="47" t="s">
        <v>764</v>
      </c>
      <c r="G41" s="48">
        <f t="shared" si="2"/>
        <v>1509</v>
      </c>
      <c r="H41" s="48"/>
      <c r="I41" s="49" t="s">
        <v>958</v>
      </c>
      <c r="J41" s="71" t="str">
        <f t="shared" si="3"/>
        <v>コチラにお問い合わせ下さい。</v>
      </c>
      <c r="K41" s="45"/>
    </row>
    <row r="42" spans="1:11" x14ac:dyDescent="0.45">
      <c r="A42" s="70" t="s">
        <v>1183</v>
      </c>
      <c r="B42" s="46" t="s">
        <v>1023</v>
      </c>
      <c r="C42" s="46" t="s">
        <v>988</v>
      </c>
      <c r="D42" s="47" t="s">
        <v>783</v>
      </c>
      <c r="E42" s="47" t="s">
        <v>1170</v>
      </c>
      <c r="F42" s="47" t="s">
        <v>764</v>
      </c>
      <c r="G42" s="48">
        <f t="shared" si="2"/>
        <v>1509</v>
      </c>
      <c r="H42" s="48"/>
      <c r="I42" s="49" t="s">
        <v>958</v>
      </c>
      <c r="J42" s="71" t="str">
        <f t="shared" si="3"/>
        <v>コチラにお問い合わせ下さい。</v>
      </c>
      <c r="K42" s="45"/>
    </row>
    <row r="43" spans="1:11" x14ac:dyDescent="0.45">
      <c r="A43" s="70" t="s">
        <v>1183</v>
      </c>
      <c r="B43" s="46" t="s">
        <v>1024</v>
      </c>
      <c r="C43" s="46" t="s">
        <v>988</v>
      </c>
      <c r="D43" s="47" t="s">
        <v>783</v>
      </c>
      <c r="E43" s="47" t="s">
        <v>1169</v>
      </c>
      <c r="F43" s="47" t="s">
        <v>764</v>
      </c>
      <c r="G43" s="48">
        <f t="shared" si="2"/>
        <v>1509</v>
      </c>
      <c r="H43" s="48"/>
      <c r="I43" s="49" t="s">
        <v>958</v>
      </c>
      <c r="J43" s="71" t="str">
        <f t="shared" si="3"/>
        <v>コチラにお問い合わせ下さい。</v>
      </c>
      <c r="K43" s="45"/>
    </row>
    <row r="44" spans="1:11" x14ac:dyDescent="0.45">
      <c r="A44" s="70" t="s">
        <v>1183</v>
      </c>
      <c r="B44" s="46" t="s">
        <v>1025</v>
      </c>
      <c r="C44" s="46" t="s">
        <v>988</v>
      </c>
      <c r="D44" s="47" t="s">
        <v>783</v>
      </c>
      <c r="E44" s="47" t="s">
        <v>1169</v>
      </c>
      <c r="F44" s="47" t="s">
        <v>764</v>
      </c>
      <c r="G44" s="48">
        <f t="shared" si="2"/>
        <v>1509</v>
      </c>
      <c r="H44" s="48"/>
      <c r="I44" s="49" t="s">
        <v>958</v>
      </c>
      <c r="J44" s="71" t="str">
        <f t="shared" si="3"/>
        <v>コチラにお問い合わせ下さい。</v>
      </c>
      <c r="K44" s="45"/>
    </row>
    <row r="45" spans="1:11" x14ac:dyDescent="0.45">
      <c r="A45" s="70" t="s">
        <v>1183</v>
      </c>
      <c r="B45" s="46" t="s">
        <v>1026</v>
      </c>
      <c r="C45" s="46" t="s">
        <v>988</v>
      </c>
      <c r="D45" s="47" t="s">
        <v>783</v>
      </c>
      <c r="E45" s="47" t="s">
        <v>1169</v>
      </c>
      <c r="F45" s="47" t="s">
        <v>764</v>
      </c>
      <c r="G45" s="48">
        <f t="shared" si="2"/>
        <v>1509</v>
      </c>
      <c r="H45" s="48"/>
      <c r="I45" s="49" t="s">
        <v>958</v>
      </c>
      <c r="J45" s="71" t="str">
        <f t="shared" si="3"/>
        <v>コチラにお問い合わせ下さい。</v>
      </c>
      <c r="K45" s="45"/>
    </row>
    <row r="46" spans="1:11" x14ac:dyDescent="0.45">
      <c r="A46" s="70" t="s">
        <v>1184</v>
      </c>
      <c r="B46" s="46" t="s">
        <v>1027</v>
      </c>
      <c r="C46" s="46" t="s">
        <v>988</v>
      </c>
      <c r="D46" s="47" t="s">
        <v>783</v>
      </c>
      <c r="E46" s="47" t="s">
        <v>1170</v>
      </c>
      <c r="F46" s="47" t="s">
        <v>764</v>
      </c>
      <c r="G46" s="48">
        <f t="shared" si="2"/>
        <v>1509</v>
      </c>
      <c r="H46" s="48"/>
      <c r="I46" s="49" t="s">
        <v>958</v>
      </c>
      <c r="J46" s="71" t="str">
        <f t="shared" si="3"/>
        <v>コチラにお問い合わせ下さい。</v>
      </c>
      <c r="K46" s="45"/>
    </row>
    <row r="47" spans="1:11" x14ac:dyDescent="0.45">
      <c r="A47" s="72" t="s">
        <v>1184</v>
      </c>
      <c r="B47" s="34" t="s">
        <v>819</v>
      </c>
      <c r="C47" s="34">
        <v>1</v>
      </c>
      <c r="D47" s="35" t="s">
        <v>769</v>
      </c>
      <c r="E47" s="35" t="s">
        <v>801</v>
      </c>
      <c r="F47" s="35" t="s">
        <v>764</v>
      </c>
      <c r="G47" s="44">
        <f t="shared" si="2"/>
        <v>1509</v>
      </c>
      <c r="H47" s="44"/>
      <c r="I47" s="36" t="s">
        <v>958</v>
      </c>
      <c r="J47" s="73" t="str">
        <f>HYPERLINK("https://www.nite.go.jp/nbrc/dbrp/dataview?dataId=ANGE0000500030599","ダウンロード")</f>
        <v>ダウンロード</v>
      </c>
      <c r="K47" s="45"/>
    </row>
    <row r="48" spans="1:11" x14ac:dyDescent="0.45">
      <c r="A48" s="72" t="s">
        <v>1184</v>
      </c>
      <c r="B48" s="34" t="s">
        <v>818</v>
      </c>
      <c r="C48" s="34">
        <v>1</v>
      </c>
      <c r="D48" s="35" t="s">
        <v>769</v>
      </c>
      <c r="E48" s="35" t="s">
        <v>801</v>
      </c>
      <c r="F48" s="35" t="s">
        <v>764</v>
      </c>
      <c r="G48" s="44">
        <f t="shared" si="2"/>
        <v>1509</v>
      </c>
      <c r="H48" s="44"/>
      <c r="I48" s="36" t="s">
        <v>958</v>
      </c>
      <c r="J48" s="73" t="str">
        <f>HYPERLINK("https://www.nite.go.jp/nbrc/dbrp/dataview?dataId=ANGE0000500030600","ダウンロード")</f>
        <v>ダウンロード</v>
      </c>
      <c r="K48" s="45"/>
    </row>
    <row r="49" spans="1:11" x14ac:dyDescent="0.45">
      <c r="A49" s="72" t="s">
        <v>1184</v>
      </c>
      <c r="B49" s="34" t="s">
        <v>817</v>
      </c>
      <c r="C49" s="34">
        <v>1</v>
      </c>
      <c r="D49" s="35" t="s">
        <v>769</v>
      </c>
      <c r="E49" s="35" t="s">
        <v>801</v>
      </c>
      <c r="F49" s="35" t="s">
        <v>764</v>
      </c>
      <c r="G49" s="44">
        <f t="shared" si="2"/>
        <v>1509</v>
      </c>
      <c r="H49" s="44"/>
      <c r="I49" s="36" t="s">
        <v>958</v>
      </c>
      <c r="J49" s="73" t="str">
        <f>HYPERLINK("https://www.nite.go.jp/nbrc/dbrp/dataview?dataId=ANGE0000500030601","ダウンロード")</f>
        <v>ダウンロード</v>
      </c>
      <c r="K49" s="45"/>
    </row>
    <row r="50" spans="1:11" x14ac:dyDescent="0.45">
      <c r="A50" s="72" t="s">
        <v>1184</v>
      </c>
      <c r="B50" s="34" t="s">
        <v>816</v>
      </c>
      <c r="C50" s="34">
        <v>1</v>
      </c>
      <c r="D50" s="35" t="s">
        <v>769</v>
      </c>
      <c r="E50" s="35" t="s">
        <v>801</v>
      </c>
      <c r="F50" s="35" t="s">
        <v>764</v>
      </c>
      <c r="G50" s="44">
        <f t="shared" si="2"/>
        <v>1509</v>
      </c>
      <c r="H50" s="44"/>
      <c r="I50" s="36" t="s">
        <v>958</v>
      </c>
      <c r="J50" s="73" t="str">
        <f>HYPERLINK("https://www.nite.go.jp/nbrc/dbrp/dataview?dataId=ANGE0000500030602","ダウンロード")</f>
        <v>ダウンロード</v>
      </c>
      <c r="K50" s="45"/>
    </row>
    <row r="51" spans="1:11" x14ac:dyDescent="0.45">
      <c r="A51" s="72" t="s">
        <v>1184</v>
      </c>
      <c r="B51" s="34" t="s">
        <v>815</v>
      </c>
      <c r="C51" s="34">
        <v>1</v>
      </c>
      <c r="D51" s="35" t="s">
        <v>769</v>
      </c>
      <c r="E51" s="35" t="s">
        <v>801</v>
      </c>
      <c r="F51" s="35" t="s">
        <v>764</v>
      </c>
      <c r="G51" s="44">
        <f t="shared" si="2"/>
        <v>1509</v>
      </c>
      <c r="H51" s="44"/>
      <c r="I51" s="36" t="s">
        <v>958</v>
      </c>
      <c r="J51" s="73" t="str">
        <f>HYPERLINK("https://www.nite.go.jp/nbrc/dbrp/dataview?dataId=ANGE0000500030603","ダウンロード")</f>
        <v>ダウンロード</v>
      </c>
      <c r="K51" s="45"/>
    </row>
    <row r="52" spans="1:11" x14ac:dyDescent="0.45">
      <c r="A52" s="70" t="s">
        <v>1177</v>
      </c>
      <c r="B52" s="46" t="s">
        <v>1028</v>
      </c>
      <c r="C52" s="46" t="s">
        <v>988</v>
      </c>
      <c r="D52" s="47" t="s">
        <v>965</v>
      </c>
      <c r="E52" s="47" t="s">
        <v>1169</v>
      </c>
      <c r="F52" s="47" t="s">
        <v>764</v>
      </c>
      <c r="G52" s="48">
        <f t="shared" si="2"/>
        <v>1509</v>
      </c>
      <c r="H52" s="48"/>
      <c r="I52" s="49" t="s">
        <v>958</v>
      </c>
      <c r="J52" s="71" t="str">
        <f t="shared" ref="J52:J58" si="4">HYPERLINK("mailto:rd@nite.go.jp","コチラにお問い合わせ下さい。")</f>
        <v>コチラにお問い合わせ下さい。</v>
      </c>
      <c r="K52" s="45"/>
    </row>
    <row r="53" spans="1:11" x14ac:dyDescent="0.45">
      <c r="A53" s="70" t="s">
        <v>1177</v>
      </c>
      <c r="B53" s="46" t="s">
        <v>1029</v>
      </c>
      <c r="C53" s="46" t="s">
        <v>989</v>
      </c>
      <c r="D53" s="47" t="s">
        <v>965</v>
      </c>
      <c r="E53" s="47" t="s">
        <v>1170</v>
      </c>
      <c r="F53" s="47" t="s">
        <v>764</v>
      </c>
      <c r="G53" s="48">
        <f t="shared" si="2"/>
        <v>1509</v>
      </c>
      <c r="H53" s="48"/>
      <c r="I53" s="49" t="s">
        <v>958</v>
      </c>
      <c r="J53" s="71" t="str">
        <f t="shared" si="4"/>
        <v>コチラにお問い合わせ下さい。</v>
      </c>
      <c r="K53" s="45"/>
    </row>
    <row r="54" spans="1:11" x14ac:dyDescent="0.45">
      <c r="A54" s="70" t="s">
        <v>1177</v>
      </c>
      <c r="B54" s="46" t="s">
        <v>1030</v>
      </c>
      <c r="C54" s="46" t="s">
        <v>989</v>
      </c>
      <c r="D54" s="47" t="s">
        <v>965</v>
      </c>
      <c r="E54" s="47" t="s">
        <v>1170</v>
      </c>
      <c r="F54" s="47" t="s">
        <v>764</v>
      </c>
      <c r="G54" s="48">
        <f t="shared" si="2"/>
        <v>1509</v>
      </c>
      <c r="H54" s="48"/>
      <c r="I54" s="49" t="s">
        <v>958</v>
      </c>
      <c r="J54" s="71" t="str">
        <f t="shared" si="4"/>
        <v>コチラにお問い合わせ下さい。</v>
      </c>
      <c r="K54" s="45"/>
    </row>
    <row r="55" spans="1:11" x14ac:dyDescent="0.45">
      <c r="A55" s="70" t="s">
        <v>1177</v>
      </c>
      <c r="B55" s="46" t="s">
        <v>1031</v>
      </c>
      <c r="C55" s="46" t="s">
        <v>989</v>
      </c>
      <c r="D55" s="47" t="s">
        <v>965</v>
      </c>
      <c r="E55" s="47" t="s">
        <v>1170</v>
      </c>
      <c r="F55" s="47" t="s">
        <v>764</v>
      </c>
      <c r="G55" s="48">
        <f t="shared" si="2"/>
        <v>1509</v>
      </c>
      <c r="H55" s="48"/>
      <c r="I55" s="49" t="s">
        <v>958</v>
      </c>
      <c r="J55" s="71" t="str">
        <f t="shared" si="4"/>
        <v>コチラにお問い合わせ下さい。</v>
      </c>
      <c r="K55" s="45"/>
    </row>
    <row r="56" spans="1:11" x14ac:dyDescent="0.45">
      <c r="A56" s="70" t="s">
        <v>1177</v>
      </c>
      <c r="B56" s="46" t="s">
        <v>1032</v>
      </c>
      <c r="C56" s="46" t="s">
        <v>989</v>
      </c>
      <c r="D56" s="47" t="s">
        <v>965</v>
      </c>
      <c r="E56" s="47" t="s">
        <v>1170</v>
      </c>
      <c r="F56" s="47" t="s">
        <v>764</v>
      </c>
      <c r="G56" s="48">
        <f t="shared" si="2"/>
        <v>1509</v>
      </c>
      <c r="H56" s="48"/>
      <c r="I56" s="49" t="s">
        <v>958</v>
      </c>
      <c r="J56" s="71" t="str">
        <f t="shared" si="4"/>
        <v>コチラにお問い合わせ下さい。</v>
      </c>
      <c r="K56" s="45"/>
    </row>
    <row r="57" spans="1:11" x14ac:dyDescent="0.45">
      <c r="A57" s="70" t="s">
        <v>1185</v>
      </c>
      <c r="B57" s="46" t="s">
        <v>1033</v>
      </c>
      <c r="C57" s="46" t="s">
        <v>988</v>
      </c>
      <c r="D57" s="47" t="s">
        <v>965</v>
      </c>
      <c r="E57" s="47" t="s">
        <v>1170</v>
      </c>
      <c r="F57" s="47" t="s">
        <v>764</v>
      </c>
      <c r="G57" s="48">
        <f>HYPERLINK("https://www.nite.go.jp/nbrc/catalogue/NBRCMediumDetailServlet?NO=000310",310)</f>
        <v>310</v>
      </c>
      <c r="H57" s="48"/>
      <c r="I57" s="49" t="s">
        <v>958</v>
      </c>
      <c r="J57" s="71" t="str">
        <f t="shared" si="4"/>
        <v>コチラにお問い合わせ下さい。</v>
      </c>
      <c r="K57" s="45"/>
    </row>
    <row r="58" spans="1:11" x14ac:dyDescent="0.45">
      <c r="A58" s="70" t="s">
        <v>1185</v>
      </c>
      <c r="B58" s="46" t="s">
        <v>1034</v>
      </c>
      <c r="C58" s="46" t="s">
        <v>988</v>
      </c>
      <c r="D58" s="47" t="s">
        <v>965</v>
      </c>
      <c r="E58" s="47" t="s">
        <v>1171</v>
      </c>
      <c r="F58" s="47" t="s">
        <v>764</v>
      </c>
      <c r="G58" s="48">
        <f>HYPERLINK("https://www.nite.go.jp/nbrc/catalogue/NBRCMediumDetailServlet?NO=000310",310)</f>
        <v>310</v>
      </c>
      <c r="H58" s="48"/>
      <c r="I58" s="49" t="s">
        <v>958</v>
      </c>
      <c r="J58" s="71" t="str">
        <f t="shared" si="4"/>
        <v>コチラにお問い合わせ下さい。</v>
      </c>
      <c r="K58" s="45"/>
    </row>
    <row r="59" spans="1:11" x14ac:dyDescent="0.45">
      <c r="A59" s="72" t="s">
        <v>1228</v>
      </c>
      <c r="B59" s="34" t="s">
        <v>835</v>
      </c>
      <c r="C59" s="34">
        <v>1</v>
      </c>
      <c r="D59" s="35" t="s">
        <v>769</v>
      </c>
      <c r="E59" s="35" t="s">
        <v>801</v>
      </c>
      <c r="F59" s="35" t="s">
        <v>764</v>
      </c>
      <c r="G59" s="44">
        <f t="shared" ref="G59:G88" si="5">HYPERLINK("https://www.nite.go.jp/nbrc/catalogue/NBRCMediumDetailServlet?NO=001509",1509)</f>
        <v>1509</v>
      </c>
      <c r="H59" s="44"/>
      <c r="I59" s="36" t="s">
        <v>958</v>
      </c>
      <c r="J59" s="73" t="str">
        <f>HYPERLINK("https://www.nite.go.jp/nbrc/dbrp/dataview?dataId=ANGE0000500030604","ダウンロード")</f>
        <v>ダウンロード</v>
      </c>
      <c r="K59" s="45"/>
    </row>
    <row r="60" spans="1:11" x14ac:dyDescent="0.45">
      <c r="A60" s="72" t="s">
        <v>1228</v>
      </c>
      <c r="B60" s="34" t="s">
        <v>834</v>
      </c>
      <c r="C60" s="34">
        <v>1</v>
      </c>
      <c r="D60" s="35" t="s">
        <v>769</v>
      </c>
      <c r="E60" s="35" t="s">
        <v>801</v>
      </c>
      <c r="F60" s="35" t="s">
        <v>764</v>
      </c>
      <c r="G60" s="44">
        <f t="shared" si="5"/>
        <v>1509</v>
      </c>
      <c r="H60" s="44"/>
      <c r="I60" s="36" t="s">
        <v>958</v>
      </c>
      <c r="J60" s="73" t="str">
        <f>HYPERLINK("https://www.nite.go.jp/nbrc/dbrp/dataview?dataId=ANGE0000500030605","ダウンロード")</f>
        <v>ダウンロード</v>
      </c>
      <c r="K60" s="45"/>
    </row>
    <row r="61" spans="1:11" x14ac:dyDescent="0.45">
      <c r="A61" s="72" t="s">
        <v>1229</v>
      </c>
      <c r="B61" s="34" t="s">
        <v>833</v>
      </c>
      <c r="C61" s="34">
        <v>1</v>
      </c>
      <c r="D61" s="35" t="s">
        <v>769</v>
      </c>
      <c r="E61" s="35" t="s">
        <v>801</v>
      </c>
      <c r="F61" s="35" t="s">
        <v>764</v>
      </c>
      <c r="G61" s="44">
        <f t="shared" si="5"/>
        <v>1509</v>
      </c>
      <c r="H61" s="44"/>
      <c r="I61" s="36" t="s">
        <v>958</v>
      </c>
      <c r="J61" s="73" t="str">
        <f>HYPERLINK("https://www.nite.go.jp/nbrc/dbrp/dataview?dataId=ANGE0000500030606","ダウンロード")</f>
        <v>ダウンロード</v>
      </c>
      <c r="K61" s="45"/>
    </row>
    <row r="62" spans="1:11" x14ac:dyDescent="0.45">
      <c r="A62" s="72" t="s">
        <v>1186</v>
      </c>
      <c r="B62" s="34" t="s">
        <v>832</v>
      </c>
      <c r="C62" s="34">
        <v>1</v>
      </c>
      <c r="D62" s="35" t="s">
        <v>769</v>
      </c>
      <c r="E62" s="35" t="s">
        <v>801</v>
      </c>
      <c r="F62" s="35" t="s">
        <v>764</v>
      </c>
      <c r="G62" s="44">
        <f t="shared" si="5"/>
        <v>1509</v>
      </c>
      <c r="H62" s="44"/>
      <c r="I62" s="36" t="s">
        <v>958</v>
      </c>
      <c r="J62" s="73" t="str">
        <f>HYPERLINK("https://www.nite.go.jp/nbrc/dbrp/dataview?dataId=ANGE0000500030607","ダウンロード")</f>
        <v>ダウンロード</v>
      </c>
      <c r="K62" s="45"/>
    </row>
    <row r="63" spans="1:11" x14ac:dyDescent="0.45">
      <c r="A63" s="72" t="s">
        <v>1186</v>
      </c>
      <c r="B63" s="34" t="s">
        <v>831</v>
      </c>
      <c r="C63" s="34">
        <v>1</v>
      </c>
      <c r="D63" s="35" t="s">
        <v>769</v>
      </c>
      <c r="E63" s="35" t="s">
        <v>801</v>
      </c>
      <c r="F63" s="35" t="s">
        <v>764</v>
      </c>
      <c r="G63" s="44">
        <f t="shared" si="5"/>
        <v>1509</v>
      </c>
      <c r="H63" s="44"/>
      <c r="I63" s="36" t="s">
        <v>958</v>
      </c>
      <c r="J63" s="73" t="str">
        <f>HYPERLINK("https://www.nite.go.jp/nbrc/dbrp/dataview?dataId=ANGE0000500030608","ダウンロード")</f>
        <v>ダウンロード</v>
      </c>
      <c r="K63" s="45"/>
    </row>
    <row r="64" spans="1:11" x14ac:dyDescent="0.45">
      <c r="A64" s="72" t="s">
        <v>1186</v>
      </c>
      <c r="B64" s="34" t="s">
        <v>830</v>
      </c>
      <c r="C64" s="34">
        <v>1</v>
      </c>
      <c r="D64" s="35" t="s">
        <v>769</v>
      </c>
      <c r="E64" s="35" t="s">
        <v>801</v>
      </c>
      <c r="F64" s="35" t="s">
        <v>764</v>
      </c>
      <c r="G64" s="44">
        <f t="shared" si="5"/>
        <v>1509</v>
      </c>
      <c r="H64" s="44"/>
      <c r="I64" s="36" t="s">
        <v>958</v>
      </c>
      <c r="J64" s="73" t="str">
        <f>HYPERLINK("https://www.nite.go.jp/nbrc/dbrp/dataview?dataId=ANGE0000500030609","ダウンロード")</f>
        <v>ダウンロード</v>
      </c>
      <c r="K64" s="45"/>
    </row>
    <row r="65" spans="1:11" x14ac:dyDescent="0.45">
      <c r="A65" s="70" t="s">
        <v>1186</v>
      </c>
      <c r="B65" s="46" t="s">
        <v>1035</v>
      </c>
      <c r="C65" s="46" t="s">
        <v>988</v>
      </c>
      <c r="D65" s="47" t="s">
        <v>783</v>
      </c>
      <c r="E65" s="47" t="s">
        <v>1171</v>
      </c>
      <c r="F65" s="47" t="s">
        <v>764</v>
      </c>
      <c r="G65" s="48">
        <f t="shared" si="5"/>
        <v>1509</v>
      </c>
      <c r="H65" s="48"/>
      <c r="I65" s="49" t="s">
        <v>958</v>
      </c>
      <c r="J65" s="71" t="str">
        <f t="shared" ref="J65:J73" si="6">HYPERLINK("mailto:rd@nite.go.jp","コチラにお問い合わせ下さい。")</f>
        <v>コチラにお問い合わせ下さい。</v>
      </c>
      <c r="K65" s="45"/>
    </row>
    <row r="66" spans="1:11" x14ac:dyDescent="0.45">
      <c r="A66" s="70" t="s">
        <v>1186</v>
      </c>
      <c r="B66" s="46" t="s">
        <v>1036</v>
      </c>
      <c r="C66" s="46" t="s">
        <v>988</v>
      </c>
      <c r="D66" s="47" t="s">
        <v>783</v>
      </c>
      <c r="E66" s="47" t="s">
        <v>1171</v>
      </c>
      <c r="F66" s="47" t="s">
        <v>764</v>
      </c>
      <c r="G66" s="48">
        <f t="shared" si="5"/>
        <v>1509</v>
      </c>
      <c r="H66" s="48"/>
      <c r="I66" s="49" t="s">
        <v>958</v>
      </c>
      <c r="J66" s="71" t="str">
        <f t="shared" si="6"/>
        <v>コチラにお問い合わせ下さい。</v>
      </c>
      <c r="K66" s="45"/>
    </row>
    <row r="67" spans="1:11" x14ac:dyDescent="0.45">
      <c r="A67" s="70" t="s">
        <v>1187</v>
      </c>
      <c r="B67" s="46" t="s">
        <v>1037</v>
      </c>
      <c r="C67" s="46" t="s">
        <v>1175</v>
      </c>
      <c r="D67" s="47" t="s">
        <v>783</v>
      </c>
      <c r="E67" s="47" t="s">
        <v>1171</v>
      </c>
      <c r="F67" s="47" t="s">
        <v>764</v>
      </c>
      <c r="G67" s="48">
        <f t="shared" si="5"/>
        <v>1509</v>
      </c>
      <c r="H67" s="48"/>
      <c r="I67" s="49" t="s">
        <v>958</v>
      </c>
      <c r="J67" s="71" t="str">
        <f t="shared" si="6"/>
        <v>コチラにお問い合わせ下さい。</v>
      </c>
      <c r="K67" s="45"/>
    </row>
    <row r="68" spans="1:11" x14ac:dyDescent="0.45">
      <c r="A68" s="70" t="s">
        <v>1187</v>
      </c>
      <c r="B68" s="46" t="s">
        <v>1038</v>
      </c>
      <c r="C68" s="46" t="s">
        <v>1175</v>
      </c>
      <c r="D68" s="47" t="s">
        <v>783</v>
      </c>
      <c r="E68" s="47" t="s">
        <v>1171</v>
      </c>
      <c r="F68" s="47" t="s">
        <v>764</v>
      </c>
      <c r="G68" s="48">
        <f t="shared" si="5"/>
        <v>1509</v>
      </c>
      <c r="H68" s="48"/>
      <c r="I68" s="49" t="s">
        <v>958</v>
      </c>
      <c r="J68" s="71" t="str">
        <f t="shared" si="6"/>
        <v>コチラにお問い合わせ下さい。</v>
      </c>
      <c r="K68" s="45"/>
    </row>
    <row r="69" spans="1:11" x14ac:dyDescent="0.45">
      <c r="A69" s="70" t="s">
        <v>1187</v>
      </c>
      <c r="B69" s="46" t="s">
        <v>1039</v>
      </c>
      <c r="C69" s="46" t="s">
        <v>1175</v>
      </c>
      <c r="D69" s="47" t="s">
        <v>783</v>
      </c>
      <c r="E69" s="47" t="s">
        <v>1171</v>
      </c>
      <c r="F69" s="47" t="s">
        <v>764</v>
      </c>
      <c r="G69" s="48">
        <f t="shared" si="5"/>
        <v>1509</v>
      </c>
      <c r="H69" s="48"/>
      <c r="I69" s="49" t="s">
        <v>958</v>
      </c>
      <c r="J69" s="71" t="str">
        <f t="shared" si="6"/>
        <v>コチラにお問い合わせ下さい。</v>
      </c>
      <c r="K69" s="45"/>
    </row>
    <row r="70" spans="1:11" x14ac:dyDescent="0.45">
      <c r="A70" s="70" t="s">
        <v>1187</v>
      </c>
      <c r="B70" s="46" t="s">
        <v>1040</v>
      </c>
      <c r="C70" s="46" t="s">
        <v>1175</v>
      </c>
      <c r="D70" s="47" t="s">
        <v>783</v>
      </c>
      <c r="E70" s="47" t="s">
        <v>1171</v>
      </c>
      <c r="F70" s="47" t="s">
        <v>764</v>
      </c>
      <c r="G70" s="48">
        <f t="shared" si="5"/>
        <v>1509</v>
      </c>
      <c r="H70" s="48"/>
      <c r="I70" s="49" t="s">
        <v>958</v>
      </c>
      <c r="J70" s="71" t="str">
        <f t="shared" si="6"/>
        <v>コチラにお問い合わせ下さい。</v>
      </c>
      <c r="K70" s="45"/>
    </row>
    <row r="71" spans="1:11" x14ac:dyDescent="0.45">
      <c r="A71" s="70" t="s">
        <v>1187</v>
      </c>
      <c r="B71" s="46" t="s">
        <v>1041</v>
      </c>
      <c r="C71" s="46" t="s">
        <v>989</v>
      </c>
      <c r="D71" s="47" t="s">
        <v>783</v>
      </c>
      <c r="E71" s="47" t="s">
        <v>1171</v>
      </c>
      <c r="F71" s="47" t="s">
        <v>764</v>
      </c>
      <c r="G71" s="48">
        <f t="shared" si="5"/>
        <v>1509</v>
      </c>
      <c r="H71" s="48"/>
      <c r="I71" s="49" t="s">
        <v>958</v>
      </c>
      <c r="J71" s="71" t="str">
        <f t="shared" si="6"/>
        <v>コチラにお問い合わせ下さい。</v>
      </c>
      <c r="K71" s="45"/>
    </row>
    <row r="72" spans="1:11" x14ac:dyDescent="0.45">
      <c r="A72" s="70" t="s">
        <v>1187</v>
      </c>
      <c r="B72" s="46" t="s">
        <v>1042</v>
      </c>
      <c r="C72" s="46" t="s">
        <v>989</v>
      </c>
      <c r="D72" s="47" t="s">
        <v>783</v>
      </c>
      <c r="E72" s="47" t="s">
        <v>1171</v>
      </c>
      <c r="F72" s="47" t="s">
        <v>764</v>
      </c>
      <c r="G72" s="48">
        <f t="shared" si="5"/>
        <v>1509</v>
      </c>
      <c r="H72" s="48"/>
      <c r="I72" s="49" t="s">
        <v>958</v>
      </c>
      <c r="J72" s="71" t="str">
        <f t="shared" si="6"/>
        <v>コチラにお問い合わせ下さい。</v>
      </c>
      <c r="K72" s="45"/>
    </row>
    <row r="73" spans="1:11" x14ac:dyDescent="0.45">
      <c r="A73" s="70" t="s">
        <v>1188</v>
      </c>
      <c r="B73" s="46" t="s">
        <v>1043</v>
      </c>
      <c r="C73" s="46" t="s">
        <v>989</v>
      </c>
      <c r="D73" s="47" t="s">
        <v>783</v>
      </c>
      <c r="E73" s="47" t="s">
        <v>1171</v>
      </c>
      <c r="F73" s="47" t="s">
        <v>764</v>
      </c>
      <c r="G73" s="48">
        <f t="shared" si="5"/>
        <v>1509</v>
      </c>
      <c r="H73" s="48"/>
      <c r="I73" s="49" t="s">
        <v>958</v>
      </c>
      <c r="J73" s="71" t="str">
        <f t="shared" si="6"/>
        <v>コチラにお問い合わせ下さい。</v>
      </c>
      <c r="K73" s="45"/>
    </row>
    <row r="74" spans="1:11" x14ac:dyDescent="0.45">
      <c r="A74" s="72" t="s">
        <v>1230</v>
      </c>
      <c r="B74" s="34" t="s">
        <v>805</v>
      </c>
      <c r="C74" s="34">
        <v>1</v>
      </c>
      <c r="D74" s="35" t="s">
        <v>769</v>
      </c>
      <c r="E74" s="35" t="s">
        <v>801</v>
      </c>
      <c r="F74" s="35" t="s">
        <v>764</v>
      </c>
      <c r="G74" s="44">
        <f t="shared" si="5"/>
        <v>1509</v>
      </c>
      <c r="H74" s="44"/>
      <c r="I74" s="36" t="s">
        <v>958</v>
      </c>
      <c r="J74" s="73" t="str">
        <f>HYPERLINK("https://www.nite.go.jp/nbrc/dbrp/dataview?dataId=ANGE0000500030610","ダウンロード")</f>
        <v>ダウンロード</v>
      </c>
      <c r="K74" s="45"/>
    </row>
    <row r="75" spans="1:11" x14ac:dyDescent="0.45">
      <c r="A75" s="72" t="s">
        <v>1230</v>
      </c>
      <c r="B75" s="34" t="s">
        <v>804</v>
      </c>
      <c r="C75" s="34">
        <v>1</v>
      </c>
      <c r="D75" s="35" t="s">
        <v>769</v>
      </c>
      <c r="E75" s="35" t="s">
        <v>801</v>
      </c>
      <c r="F75" s="35" t="s">
        <v>764</v>
      </c>
      <c r="G75" s="44">
        <f t="shared" si="5"/>
        <v>1509</v>
      </c>
      <c r="H75" s="44"/>
      <c r="I75" s="36" t="s">
        <v>958</v>
      </c>
      <c r="J75" s="73" t="str">
        <f>HYPERLINK("https://www.nite.go.jp/nbrc/dbrp/dataview?dataId=ANGE0000500030611","ダウンロード")</f>
        <v>ダウンロード</v>
      </c>
      <c r="K75" s="45"/>
    </row>
    <row r="76" spans="1:11" x14ac:dyDescent="0.45">
      <c r="A76" s="72" t="s">
        <v>1230</v>
      </c>
      <c r="B76" s="34" t="s">
        <v>803</v>
      </c>
      <c r="C76" s="34">
        <v>1</v>
      </c>
      <c r="D76" s="35" t="s">
        <v>769</v>
      </c>
      <c r="E76" s="35" t="s">
        <v>801</v>
      </c>
      <c r="F76" s="35" t="s">
        <v>764</v>
      </c>
      <c r="G76" s="44">
        <f t="shared" si="5"/>
        <v>1509</v>
      </c>
      <c r="H76" s="44"/>
      <c r="I76" s="36" t="s">
        <v>958</v>
      </c>
      <c r="J76" s="73" t="str">
        <f>HYPERLINK("https://www.nite.go.jp/nbrc/dbrp/dataview?dataId=ANGE0000500030612","ダウンロード")</f>
        <v>ダウンロード</v>
      </c>
      <c r="K76" s="45"/>
    </row>
    <row r="77" spans="1:11" x14ac:dyDescent="0.45">
      <c r="A77" s="72" t="s">
        <v>1230</v>
      </c>
      <c r="B77" s="34" t="s">
        <v>802</v>
      </c>
      <c r="C77" s="34">
        <v>1</v>
      </c>
      <c r="D77" s="35" t="s">
        <v>769</v>
      </c>
      <c r="E77" s="35" t="s">
        <v>1171</v>
      </c>
      <c r="F77" s="35" t="s">
        <v>764</v>
      </c>
      <c r="G77" s="44">
        <f t="shared" si="5"/>
        <v>1509</v>
      </c>
      <c r="H77" s="44"/>
      <c r="I77" s="36" t="s">
        <v>958</v>
      </c>
      <c r="J77" s="73" t="str">
        <f>HYPERLINK("https://www.nite.go.jp/nbrc/dbrp/dataview?dataId=ANGE0000500030613","ダウンロード")</f>
        <v>ダウンロード</v>
      </c>
      <c r="K77" s="45"/>
    </row>
    <row r="78" spans="1:11" x14ac:dyDescent="0.45">
      <c r="A78" s="70" t="s">
        <v>1189</v>
      </c>
      <c r="B78" s="46" t="s">
        <v>1044</v>
      </c>
      <c r="C78" s="46" t="s">
        <v>989</v>
      </c>
      <c r="D78" s="47" t="s">
        <v>783</v>
      </c>
      <c r="E78" s="47" t="s">
        <v>1169</v>
      </c>
      <c r="F78" s="47" t="s">
        <v>764</v>
      </c>
      <c r="G78" s="48">
        <f t="shared" si="5"/>
        <v>1509</v>
      </c>
      <c r="H78" s="48"/>
      <c r="I78" s="49" t="s">
        <v>958</v>
      </c>
      <c r="J78" s="71" t="str">
        <f t="shared" ref="J78:J82" si="7">HYPERLINK("mailto:rd@nite.go.jp","コチラにお問い合わせ下さい。")</f>
        <v>コチラにお問い合わせ下さい。</v>
      </c>
      <c r="K78" s="45"/>
    </row>
    <row r="79" spans="1:11" x14ac:dyDescent="0.45">
      <c r="A79" s="70" t="s">
        <v>1189</v>
      </c>
      <c r="B79" s="46" t="s">
        <v>1045</v>
      </c>
      <c r="C79" s="46" t="s">
        <v>989</v>
      </c>
      <c r="D79" s="47" t="s">
        <v>783</v>
      </c>
      <c r="E79" s="47" t="s">
        <v>1169</v>
      </c>
      <c r="F79" s="47" t="s">
        <v>764</v>
      </c>
      <c r="G79" s="48">
        <f t="shared" si="5"/>
        <v>1509</v>
      </c>
      <c r="H79" s="48"/>
      <c r="I79" s="49" t="s">
        <v>958</v>
      </c>
      <c r="J79" s="71" t="str">
        <f t="shared" si="7"/>
        <v>コチラにお問い合わせ下さい。</v>
      </c>
      <c r="K79" s="45"/>
    </row>
    <row r="80" spans="1:11" x14ac:dyDescent="0.45">
      <c r="A80" s="70" t="s">
        <v>1189</v>
      </c>
      <c r="B80" s="46" t="s">
        <v>1046</v>
      </c>
      <c r="C80" s="46" t="s">
        <v>989</v>
      </c>
      <c r="D80" s="47" t="s">
        <v>783</v>
      </c>
      <c r="E80" s="47" t="s">
        <v>1171</v>
      </c>
      <c r="F80" s="47" t="s">
        <v>764</v>
      </c>
      <c r="G80" s="48">
        <f t="shared" si="5"/>
        <v>1509</v>
      </c>
      <c r="H80" s="48"/>
      <c r="I80" s="49" t="s">
        <v>958</v>
      </c>
      <c r="J80" s="71" t="str">
        <f t="shared" si="7"/>
        <v>コチラにお問い合わせ下さい。</v>
      </c>
      <c r="K80" s="45"/>
    </row>
    <row r="81" spans="1:11" x14ac:dyDescent="0.45">
      <c r="A81" s="70" t="s">
        <v>1190</v>
      </c>
      <c r="B81" s="46" t="s">
        <v>1047</v>
      </c>
      <c r="C81" s="46" t="s">
        <v>988</v>
      </c>
      <c r="D81" s="47" t="s">
        <v>783</v>
      </c>
      <c r="E81" s="47" t="s">
        <v>1171</v>
      </c>
      <c r="F81" s="47" t="s">
        <v>764</v>
      </c>
      <c r="G81" s="48">
        <f t="shared" si="5"/>
        <v>1509</v>
      </c>
      <c r="H81" s="48"/>
      <c r="I81" s="49" t="s">
        <v>958</v>
      </c>
      <c r="J81" s="71" t="str">
        <f t="shared" si="7"/>
        <v>コチラにお問い合わせ下さい。</v>
      </c>
      <c r="K81" s="45"/>
    </row>
    <row r="82" spans="1:11" x14ac:dyDescent="0.45">
      <c r="A82" s="70" t="s">
        <v>1190</v>
      </c>
      <c r="B82" s="46" t="s">
        <v>1048</v>
      </c>
      <c r="C82" s="46" t="s">
        <v>988</v>
      </c>
      <c r="D82" s="47" t="s">
        <v>783</v>
      </c>
      <c r="E82" s="47" t="s">
        <v>1171</v>
      </c>
      <c r="F82" s="47" t="s">
        <v>764</v>
      </c>
      <c r="G82" s="48">
        <f t="shared" si="5"/>
        <v>1509</v>
      </c>
      <c r="H82" s="48"/>
      <c r="I82" s="49" t="s">
        <v>958</v>
      </c>
      <c r="J82" s="71" t="str">
        <f t="shared" si="7"/>
        <v>コチラにお問い合わせ下さい。</v>
      </c>
      <c r="K82" s="45"/>
    </row>
    <row r="83" spans="1:11" x14ac:dyDescent="0.45">
      <c r="A83" s="72" t="s">
        <v>1231</v>
      </c>
      <c r="B83" s="34" t="s">
        <v>825</v>
      </c>
      <c r="C83" s="34">
        <v>1</v>
      </c>
      <c r="D83" s="35" t="s">
        <v>769</v>
      </c>
      <c r="E83" s="35" t="s">
        <v>801</v>
      </c>
      <c r="F83" s="35" t="s">
        <v>764</v>
      </c>
      <c r="G83" s="44">
        <f t="shared" si="5"/>
        <v>1509</v>
      </c>
      <c r="H83" s="44"/>
      <c r="I83" s="36" t="s">
        <v>958</v>
      </c>
      <c r="J83" s="73" t="str">
        <f>HYPERLINK("https://www.nite.go.jp/nbrc/dbrp/dataview?dataId=ANGE0000500030614","ダウンロード")</f>
        <v>ダウンロード</v>
      </c>
      <c r="K83" s="45"/>
    </row>
    <row r="84" spans="1:11" x14ac:dyDescent="0.45">
      <c r="A84" s="72" t="s">
        <v>1231</v>
      </c>
      <c r="B84" s="34" t="s">
        <v>824</v>
      </c>
      <c r="C84" s="34">
        <v>1</v>
      </c>
      <c r="D84" s="35" t="s">
        <v>769</v>
      </c>
      <c r="E84" s="35" t="s">
        <v>801</v>
      </c>
      <c r="F84" s="35" t="s">
        <v>764</v>
      </c>
      <c r="G84" s="44">
        <f t="shared" si="5"/>
        <v>1509</v>
      </c>
      <c r="H84" s="44"/>
      <c r="I84" s="36" t="s">
        <v>958</v>
      </c>
      <c r="J84" s="73" t="str">
        <f>HYPERLINK("https://www.nite.go.jp/nbrc/dbrp/dataview?dataId=ANGE0000500030615","ダウンロード")</f>
        <v>ダウンロード</v>
      </c>
      <c r="K84" s="45"/>
    </row>
    <row r="85" spans="1:11" x14ac:dyDescent="0.45">
      <c r="A85" s="72" t="s">
        <v>1222</v>
      </c>
      <c r="B85" s="34" t="s">
        <v>822</v>
      </c>
      <c r="C85" s="34">
        <v>1</v>
      </c>
      <c r="D85" s="35" t="s">
        <v>769</v>
      </c>
      <c r="E85" s="35" t="s">
        <v>801</v>
      </c>
      <c r="F85" s="35" t="s">
        <v>764</v>
      </c>
      <c r="G85" s="44">
        <f t="shared" si="5"/>
        <v>1509</v>
      </c>
      <c r="H85" s="44"/>
      <c r="I85" s="36" t="s">
        <v>958</v>
      </c>
      <c r="J85" s="73" t="str">
        <f>HYPERLINK("https://www.nite.go.jp/nbrc/dbrp/dataview?dataId=ANGE0000500030616","ダウンロード")</f>
        <v>ダウンロード</v>
      </c>
      <c r="K85" s="45"/>
    </row>
    <row r="86" spans="1:11" x14ac:dyDescent="0.45">
      <c r="A86" s="72" t="s">
        <v>1191</v>
      </c>
      <c r="B86" s="34" t="s">
        <v>806</v>
      </c>
      <c r="C86" s="34">
        <v>1</v>
      </c>
      <c r="D86" s="35" t="s">
        <v>769</v>
      </c>
      <c r="E86" s="35" t="s">
        <v>801</v>
      </c>
      <c r="F86" s="35" t="s">
        <v>764</v>
      </c>
      <c r="G86" s="44">
        <f t="shared" si="5"/>
        <v>1509</v>
      </c>
      <c r="H86" s="44"/>
      <c r="I86" s="36" t="s">
        <v>958</v>
      </c>
      <c r="J86" s="73" t="str">
        <f>HYPERLINK("https://www.nite.go.jp/nbrc/dbrp/dataview?dataId=ANGE0000500030618","ダウンロード")</f>
        <v>ダウンロード</v>
      </c>
      <c r="K86" s="45"/>
    </row>
    <row r="87" spans="1:11" x14ac:dyDescent="0.45">
      <c r="A87" s="70" t="s">
        <v>1191</v>
      </c>
      <c r="B87" s="46" t="s">
        <v>1049</v>
      </c>
      <c r="C87" s="46" t="s">
        <v>989</v>
      </c>
      <c r="D87" s="47" t="s">
        <v>783</v>
      </c>
      <c r="E87" s="47" t="s">
        <v>1171</v>
      </c>
      <c r="F87" s="47" t="s">
        <v>764</v>
      </c>
      <c r="G87" s="48">
        <f t="shared" si="5"/>
        <v>1509</v>
      </c>
      <c r="H87" s="48"/>
      <c r="I87" s="49" t="s">
        <v>958</v>
      </c>
      <c r="J87" s="71" t="str">
        <f t="shared" ref="J87:J91" si="8">HYPERLINK("mailto:rd@nite.go.jp","コチラにお問い合わせ下さい。")</f>
        <v>コチラにお問い合わせ下さい。</v>
      </c>
      <c r="K87" s="45"/>
    </row>
    <row r="88" spans="1:11" x14ac:dyDescent="0.45">
      <c r="A88" s="70" t="s">
        <v>1191</v>
      </c>
      <c r="B88" s="46" t="s">
        <v>1050</v>
      </c>
      <c r="C88" s="46" t="s">
        <v>989</v>
      </c>
      <c r="D88" s="47" t="s">
        <v>783</v>
      </c>
      <c r="E88" s="47" t="s">
        <v>1171</v>
      </c>
      <c r="F88" s="47" t="s">
        <v>764</v>
      </c>
      <c r="G88" s="48">
        <f t="shared" si="5"/>
        <v>1509</v>
      </c>
      <c r="H88" s="48"/>
      <c r="I88" s="49" t="s">
        <v>958</v>
      </c>
      <c r="J88" s="71" t="str">
        <f t="shared" si="8"/>
        <v>コチラにお問い合わせ下さい。</v>
      </c>
      <c r="K88" s="45"/>
    </row>
    <row r="89" spans="1:11" x14ac:dyDescent="0.45">
      <c r="A89" s="70" t="s">
        <v>1192</v>
      </c>
      <c r="B89" s="46" t="s">
        <v>1051</v>
      </c>
      <c r="C89" s="46" t="s">
        <v>988</v>
      </c>
      <c r="D89" s="47" t="s">
        <v>783</v>
      </c>
      <c r="E89" s="47" t="s">
        <v>1169</v>
      </c>
      <c r="F89" s="47" t="s">
        <v>764</v>
      </c>
      <c r="G89" s="48">
        <f t="shared" ref="G89:G115" si="9">HYPERLINK("https://www.nite.go.jp/nbrc/catalogue/NBRCMediumDetailServlet?NO=001509",1509)</f>
        <v>1509</v>
      </c>
      <c r="H89" s="48"/>
      <c r="I89" s="49" t="s">
        <v>958</v>
      </c>
      <c r="J89" s="71" t="str">
        <f t="shared" si="8"/>
        <v>コチラにお問い合わせ下さい。</v>
      </c>
      <c r="K89" s="45"/>
    </row>
    <row r="90" spans="1:11" x14ac:dyDescent="0.45">
      <c r="A90" s="70" t="s">
        <v>1192</v>
      </c>
      <c r="B90" s="46" t="s">
        <v>1052</v>
      </c>
      <c r="C90" s="46" t="s">
        <v>988</v>
      </c>
      <c r="D90" s="47" t="s">
        <v>783</v>
      </c>
      <c r="E90" s="47" t="s">
        <v>1169</v>
      </c>
      <c r="F90" s="47" t="s">
        <v>764</v>
      </c>
      <c r="G90" s="48">
        <f t="shared" si="9"/>
        <v>1509</v>
      </c>
      <c r="H90" s="48"/>
      <c r="I90" s="49" t="s">
        <v>958</v>
      </c>
      <c r="J90" s="71" t="str">
        <f t="shared" si="8"/>
        <v>コチラにお問い合わせ下さい。</v>
      </c>
      <c r="K90" s="45"/>
    </row>
    <row r="91" spans="1:11" x14ac:dyDescent="0.45">
      <c r="A91" s="70" t="s">
        <v>1192</v>
      </c>
      <c r="B91" s="46" t="s">
        <v>1053</v>
      </c>
      <c r="C91" s="46" t="s">
        <v>988</v>
      </c>
      <c r="D91" s="47" t="s">
        <v>783</v>
      </c>
      <c r="E91" s="47" t="s">
        <v>1171</v>
      </c>
      <c r="F91" s="47" t="s">
        <v>764</v>
      </c>
      <c r="G91" s="48">
        <f t="shared" si="9"/>
        <v>1509</v>
      </c>
      <c r="H91" s="48"/>
      <c r="I91" s="49" t="s">
        <v>958</v>
      </c>
      <c r="J91" s="71" t="str">
        <f t="shared" si="8"/>
        <v>コチラにお問い合わせ下さい。</v>
      </c>
      <c r="K91" s="45"/>
    </row>
    <row r="92" spans="1:11" x14ac:dyDescent="0.45">
      <c r="A92" s="72" t="s">
        <v>1221</v>
      </c>
      <c r="B92" s="34" t="s">
        <v>828</v>
      </c>
      <c r="C92" s="34">
        <v>1</v>
      </c>
      <c r="D92" s="35" t="s">
        <v>769</v>
      </c>
      <c r="E92" s="35" t="s">
        <v>801</v>
      </c>
      <c r="F92" s="35" t="s">
        <v>764</v>
      </c>
      <c r="G92" s="44">
        <f t="shared" si="9"/>
        <v>1509</v>
      </c>
      <c r="H92" s="44"/>
      <c r="I92" s="36" t="s">
        <v>958</v>
      </c>
      <c r="J92" s="73" t="str">
        <f>HYPERLINK("https://www.nite.go.jp/nbrc/dbrp/dataview?dataId=ANGE0000500030620","ダウンロード")</f>
        <v>ダウンロード</v>
      </c>
      <c r="K92" s="45"/>
    </row>
    <row r="93" spans="1:11" x14ac:dyDescent="0.45">
      <c r="A93" s="72" t="s">
        <v>1232</v>
      </c>
      <c r="B93" s="34" t="s">
        <v>859</v>
      </c>
      <c r="C93" s="34">
        <v>1</v>
      </c>
      <c r="D93" s="35" t="s">
        <v>769</v>
      </c>
      <c r="E93" s="35" t="s">
        <v>858</v>
      </c>
      <c r="F93" s="35" t="s">
        <v>764</v>
      </c>
      <c r="G93" s="44">
        <f t="shared" si="9"/>
        <v>1509</v>
      </c>
      <c r="H93" s="44"/>
      <c r="I93" s="36" t="s">
        <v>958</v>
      </c>
      <c r="J93" s="73" t="str">
        <f>HYPERLINK("https://www.nite.go.jp/nbrc/dbrp/dataview?dataId=ANGE0000500030622","ダウンロード")</f>
        <v>ダウンロード</v>
      </c>
      <c r="K93" s="45"/>
    </row>
    <row r="94" spans="1:11" x14ac:dyDescent="0.45">
      <c r="A94" s="72" t="s">
        <v>1232</v>
      </c>
      <c r="B94" s="34" t="s">
        <v>857</v>
      </c>
      <c r="C94" s="34">
        <v>1</v>
      </c>
      <c r="D94" s="35" t="s">
        <v>769</v>
      </c>
      <c r="E94" s="35" t="s">
        <v>801</v>
      </c>
      <c r="F94" s="35" t="s">
        <v>764</v>
      </c>
      <c r="G94" s="44">
        <f t="shared" si="9"/>
        <v>1509</v>
      </c>
      <c r="H94" s="44"/>
      <c r="I94" s="36" t="s">
        <v>958</v>
      </c>
      <c r="J94" s="73" t="str">
        <f>HYPERLINK("https://www.nite.go.jp/nbrc/dbrp/dataview?dataId=ANGE0000500030623","ダウンロード")</f>
        <v>ダウンロード</v>
      </c>
      <c r="K94" s="45"/>
    </row>
    <row r="95" spans="1:11" x14ac:dyDescent="0.45">
      <c r="A95" s="72" t="s">
        <v>1232</v>
      </c>
      <c r="B95" s="34" t="s">
        <v>856</v>
      </c>
      <c r="C95" s="34">
        <v>1</v>
      </c>
      <c r="D95" s="35" t="s">
        <v>769</v>
      </c>
      <c r="E95" s="35" t="s">
        <v>801</v>
      </c>
      <c r="F95" s="35" t="s">
        <v>764</v>
      </c>
      <c r="G95" s="44">
        <f t="shared" si="9"/>
        <v>1509</v>
      </c>
      <c r="H95" s="44"/>
      <c r="I95" s="36" t="s">
        <v>958</v>
      </c>
      <c r="J95" s="73" t="str">
        <f>HYPERLINK("https://www.nite.go.jp/nbrc/dbrp/dataview?dataId=ANGE0000500030624","ダウンロード")</f>
        <v>ダウンロード</v>
      </c>
      <c r="K95" s="45"/>
    </row>
    <row r="96" spans="1:11" x14ac:dyDescent="0.45">
      <c r="A96" s="72" t="s">
        <v>1232</v>
      </c>
      <c r="B96" s="34" t="s">
        <v>855</v>
      </c>
      <c r="C96" s="34">
        <v>1</v>
      </c>
      <c r="D96" s="35" t="s">
        <v>769</v>
      </c>
      <c r="E96" s="35" t="s">
        <v>801</v>
      </c>
      <c r="F96" s="35" t="s">
        <v>764</v>
      </c>
      <c r="G96" s="44">
        <f t="shared" si="9"/>
        <v>1509</v>
      </c>
      <c r="H96" s="44"/>
      <c r="I96" s="36" t="s">
        <v>958</v>
      </c>
      <c r="J96" s="73" t="str">
        <f>HYPERLINK("https://www.nite.go.jp/nbrc/dbrp/dataview?dataId=ANGE0000500030625","ダウンロード")</f>
        <v>ダウンロード</v>
      </c>
      <c r="K96" s="45"/>
    </row>
    <row r="97" spans="1:11" x14ac:dyDescent="0.45">
      <c r="A97" s="72" t="s">
        <v>1233</v>
      </c>
      <c r="B97" s="34" t="s">
        <v>813</v>
      </c>
      <c r="C97" s="34">
        <v>1</v>
      </c>
      <c r="D97" s="35" t="s">
        <v>769</v>
      </c>
      <c r="E97" s="35" t="s">
        <v>811</v>
      </c>
      <c r="F97" s="35" t="s">
        <v>764</v>
      </c>
      <c r="G97" s="44">
        <f t="shared" si="9"/>
        <v>1509</v>
      </c>
      <c r="H97" s="44"/>
      <c r="I97" s="36" t="s">
        <v>958</v>
      </c>
      <c r="J97" s="73" t="str">
        <f>HYPERLINK("https://www.nite.go.jp/nbrc/dbrp/dataview?dataId=ANGE0000500030626","ダウンロード")</f>
        <v>ダウンロード</v>
      </c>
      <c r="K97" s="45"/>
    </row>
    <row r="98" spans="1:11" x14ac:dyDescent="0.45">
      <c r="A98" s="72" t="s">
        <v>1233</v>
      </c>
      <c r="B98" s="34" t="s">
        <v>812</v>
      </c>
      <c r="C98" s="34">
        <v>1</v>
      </c>
      <c r="D98" s="35" t="s">
        <v>769</v>
      </c>
      <c r="E98" s="35" t="s">
        <v>1170</v>
      </c>
      <c r="F98" s="35" t="s">
        <v>764</v>
      </c>
      <c r="G98" s="44">
        <f t="shared" si="9"/>
        <v>1509</v>
      </c>
      <c r="H98" s="44"/>
      <c r="I98" s="36" t="s">
        <v>958</v>
      </c>
      <c r="J98" s="73" t="str">
        <f>HYPERLINK("https://www.nite.go.jp/nbrc/dbrp/dataview?dataId=ANGE0000500030627","ダウンロード")</f>
        <v>ダウンロード</v>
      </c>
      <c r="K98" s="45"/>
    </row>
    <row r="99" spans="1:11" x14ac:dyDescent="0.45">
      <c r="A99" s="70" t="s">
        <v>1193</v>
      </c>
      <c r="B99" s="46" t="s">
        <v>1054</v>
      </c>
      <c r="C99" s="46" t="s">
        <v>989</v>
      </c>
      <c r="D99" s="47" t="s">
        <v>783</v>
      </c>
      <c r="E99" s="47" t="s">
        <v>1170</v>
      </c>
      <c r="F99" s="47" t="s">
        <v>764</v>
      </c>
      <c r="G99" s="48">
        <f t="shared" si="9"/>
        <v>1509</v>
      </c>
      <c r="H99" s="48"/>
      <c r="I99" s="50" t="s">
        <v>780</v>
      </c>
      <c r="J99" s="71" t="str">
        <f t="shared" ref="J99:J106" si="10">HYPERLINK("mailto:rd@nite.go.jp","コチラにお問い合わせ下さい。")</f>
        <v>コチラにお問い合わせ下さい。</v>
      </c>
      <c r="K99" s="45"/>
    </row>
    <row r="100" spans="1:11" x14ac:dyDescent="0.45">
      <c r="A100" s="70" t="s">
        <v>1194</v>
      </c>
      <c r="B100" s="46" t="s">
        <v>1055</v>
      </c>
      <c r="C100" s="46" t="s">
        <v>989</v>
      </c>
      <c r="D100" s="47" t="s">
        <v>783</v>
      </c>
      <c r="E100" s="47" t="s">
        <v>1169</v>
      </c>
      <c r="F100" s="47" t="s">
        <v>764</v>
      </c>
      <c r="G100" s="48">
        <f t="shared" si="9"/>
        <v>1509</v>
      </c>
      <c r="H100" s="48"/>
      <c r="I100" s="50" t="s">
        <v>780</v>
      </c>
      <c r="J100" s="71" t="str">
        <f t="shared" si="10"/>
        <v>コチラにお問い合わせ下さい。</v>
      </c>
      <c r="K100" s="45"/>
    </row>
    <row r="101" spans="1:11" x14ac:dyDescent="0.45">
      <c r="A101" s="70" t="s">
        <v>1194</v>
      </c>
      <c r="B101" s="46" t="s">
        <v>1056</v>
      </c>
      <c r="C101" s="46" t="s">
        <v>989</v>
      </c>
      <c r="D101" s="47" t="s">
        <v>783</v>
      </c>
      <c r="E101" s="47" t="s">
        <v>1169</v>
      </c>
      <c r="F101" s="47" t="s">
        <v>764</v>
      </c>
      <c r="G101" s="48">
        <f t="shared" si="9"/>
        <v>1509</v>
      </c>
      <c r="H101" s="48"/>
      <c r="I101" s="50" t="s">
        <v>780</v>
      </c>
      <c r="J101" s="71" t="str">
        <f t="shared" si="10"/>
        <v>コチラにお問い合わせ下さい。</v>
      </c>
      <c r="K101" s="45"/>
    </row>
    <row r="102" spans="1:11" x14ac:dyDescent="0.45">
      <c r="A102" s="70" t="s">
        <v>1195</v>
      </c>
      <c r="B102" s="46" t="s">
        <v>1057</v>
      </c>
      <c r="C102" s="46" t="s">
        <v>989</v>
      </c>
      <c r="D102" s="47" t="s">
        <v>783</v>
      </c>
      <c r="E102" s="47" t="s">
        <v>1171</v>
      </c>
      <c r="F102" s="47" t="s">
        <v>764</v>
      </c>
      <c r="G102" s="48">
        <f t="shared" si="9"/>
        <v>1509</v>
      </c>
      <c r="H102" s="48"/>
      <c r="I102" s="50" t="s">
        <v>780</v>
      </c>
      <c r="J102" s="71" t="str">
        <f t="shared" si="10"/>
        <v>コチラにお問い合わせ下さい。</v>
      </c>
      <c r="K102" s="45"/>
    </row>
    <row r="103" spans="1:11" x14ac:dyDescent="0.45">
      <c r="A103" s="70" t="s">
        <v>1195</v>
      </c>
      <c r="B103" s="46" t="s">
        <v>1058</v>
      </c>
      <c r="C103" s="46" t="s">
        <v>989</v>
      </c>
      <c r="D103" s="47" t="s">
        <v>783</v>
      </c>
      <c r="E103" s="47" t="s">
        <v>1171</v>
      </c>
      <c r="F103" s="47" t="s">
        <v>764</v>
      </c>
      <c r="G103" s="48">
        <f t="shared" si="9"/>
        <v>1509</v>
      </c>
      <c r="H103" s="48"/>
      <c r="I103" s="50" t="s">
        <v>780</v>
      </c>
      <c r="J103" s="71" t="str">
        <f t="shared" si="10"/>
        <v>コチラにお問い合わせ下さい。</v>
      </c>
      <c r="K103" s="45"/>
    </row>
    <row r="104" spans="1:11" x14ac:dyDescent="0.45">
      <c r="A104" s="70" t="s">
        <v>1196</v>
      </c>
      <c r="B104" s="46" t="s">
        <v>1059</v>
      </c>
      <c r="C104" s="46" t="s">
        <v>988</v>
      </c>
      <c r="D104" s="47" t="s">
        <v>783</v>
      </c>
      <c r="E104" s="47" t="s">
        <v>782</v>
      </c>
      <c r="F104" s="47" t="s">
        <v>781</v>
      </c>
      <c r="G104" s="48">
        <f t="shared" si="9"/>
        <v>1509</v>
      </c>
      <c r="H104" s="48"/>
      <c r="I104" s="50" t="s">
        <v>780</v>
      </c>
      <c r="J104" s="71" t="str">
        <f t="shared" si="10"/>
        <v>コチラにお問い合わせ下さい。</v>
      </c>
      <c r="K104" s="45"/>
    </row>
    <row r="105" spans="1:11" x14ac:dyDescent="0.45">
      <c r="A105" s="70" t="s">
        <v>1196</v>
      </c>
      <c r="B105" s="46" t="s">
        <v>1060</v>
      </c>
      <c r="C105" s="46" t="s">
        <v>988</v>
      </c>
      <c r="D105" s="47" t="s">
        <v>783</v>
      </c>
      <c r="E105" s="47" t="s">
        <v>782</v>
      </c>
      <c r="F105" s="47" t="s">
        <v>781</v>
      </c>
      <c r="G105" s="48">
        <f t="shared" si="9"/>
        <v>1509</v>
      </c>
      <c r="H105" s="48"/>
      <c r="I105" s="50" t="s">
        <v>780</v>
      </c>
      <c r="J105" s="71" t="str">
        <f t="shared" si="10"/>
        <v>コチラにお問い合わせ下さい。</v>
      </c>
      <c r="K105" s="45"/>
    </row>
    <row r="106" spans="1:11" x14ac:dyDescent="0.45">
      <c r="A106" s="70" t="s">
        <v>1196</v>
      </c>
      <c r="B106" s="46" t="s">
        <v>1061</v>
      </c>
      <c r="C106" s="46" t="s">
        <v>988</v>
      </c>
      <c r="D106" s="47" t="s">
        <v>783</v>
      </c>
      <c r="E106" s="47" t="s">
        <v>782</v>
      </c>
      <c r="F106" s="47" t="s">
        <v>781</v>
      </c>
      <c r="G106" s="48">
        <f t="shared" si="9"/>
        <v>1509</v>
      </c>
      <c r="H106" s="48"/>
      <c r="I106" s="50" t="s">
        <v>780</v>
      </c>
      <c r="J106" s="71" t="str">
        <f t="shared" si="10"/>
        <v>コチラにお問い合わせ下さい。</v>
      </c>
      <c r="K106" s="45"/>
    </row>
    <row r="107" spans="1:11" x14ac:dyDescent="0.45">
      <c r="A107" s="74" t="s">
        <v>1234</v>
      </c>
      <c r="B107" s="37" t="s">
        <v>868</v>
      </c>
      <c r="C107" s="37">
        <v>1</v>
      </c>
      <c r="D107" s="34" t="s">
        <v>783</v>
      </c>
      <c r="E107" s="34" t="s">
        <v>782</v>
      </c>
      <c r="F107" s="34" t="s">
        <v>781</v>
      </c>
      <c r="G107" s="44">
        <f t="shared" si="9"/>
        <v>1509</v>
      </c>
      <c r="H107" s="44"/>
      <c r="I107" s="34" t="s">
        <v>780</v>
      </c>
      <c r="J107" s="73" t="str">
        <f>HYPERLINK("https://www.nite.go.jp/nbrc/dbrp/dataview?dataId=ANGE0000500030766","ダウンロード")</f>
        <v>ダウンロード</v>
      </c>
      <c r="K107" s="45"/>
    </row>
    <row r="108" spans="1:11" x14ac:dyDescent="0.45">
      <c r="A108" s="74" t="s">
        <v>1235</v>
      </c>
      <c r="B108" s="37" t="s">
        <v>792</v>
      </c>
      <c r="C108" s="37">
        <v>1</v>
      </c>
      <c r="D108" s="34" t="s">
        <v>783</v>
      </c>
      <c r="E108" s="34" t="s">
        <v>789</v>
      </c>
      <c r="F108" s="34" t="s">
        <v>781</v>
      </c>
      <c r="G108" s="44">
        <f t="shared" si="9"/>
        <v>1509</v>
      </c>
      <c r="H108" s="44"/>
      <c r="I108" s="34" t="s">
        <v>780</v>
      </c>
      <c r="J108" s="73" t="str">
        <f>HYPERLINK("https://www.nite.go.jp/nbrc/dbrp/dataview?dataId=ANGE0000500030767","ダウンロード")</f>
        <v>ダウンロード</v>
      </c>
      <c r="K108" s="45"/>
    </row>
    <row r="109" spans="1:11" x14ac:dyDescent="0.45">
      <c r="A109" s="74" t="s">
        <v>1236</v>
      </c>
      <c r="B109" s="37" t="s">
        <v>791</v>
      </c>
      <c r="C109" s="37">
        <v>1</v>
      </c>
      <c r="D109" s="34" t="s">
        <v>783</v>
      </c>
      <c r="E109" s="34" t="s">
        <v>789</v>
      </c>
      <c r="F109" s="34" t="s">
        <v>781</v>
      </c>
      <c r="G109" s="44">
        <f t="shared" si="9"/>
        <v>1509</v>
      </c>
      <c r="H109" s="44"/>
      <c r="I109" s="34" t="s">
        <v>780</v>
      </c>
      <c r="J109" s="73" t="str">
        <f>HYPERLINK("https://www.nite.go.jp/nbrc/dbrp/dataview?dataId=ANGE0000500030768","ダウンロード")</f>
        <v>ダウンロード</v>
      </c>
      <c r="K109" s="45"/>
    </row>
    <row r="110" spans="1:11" x14ac:dyDescent="0.45">
      <c r="A110" s="74" t="s">
        <v>1237</v>
      </c>
      <c r="B110" s="37" t="s">
        <v>790</v>
      </c>
      <c r="C110" s="37">
        <v>1</v>
      </c>
      <c r="D110" s="34" t="s">
        <v>783</v>
      </c>
      <c r="E110" s="34" t="s">
        <v>789</v>
      </c>
      <c r="F110" s="34" t="s">
        <v>781</v>
      </c>
      <c r="G110" s="44">
        <f t="shared" si="9"/>
        <v>1509</v>
      </c>
      <c r="H110" s="44"/>
      <c r="I110" s="34" t="s">
        <v>780</v>
      </c>
      <c r="J110" s="73" t="str">
        <f>HYPERLINK("https://www.nite.go.jp/nbrc/dbrp/dataview?dataId=ANGE0000500030769","ダウンロード")</f>
        <v>ダウンロード</v>
      </c>
      <c r="K110" s="45"/>
    </row>
    <row r="111" spans="1:11" x14ac:dyDescent="0.45">
      <c r="A111" s="74" t="s">
        <v>1237</v>
      </c>
      <c r="B111" s="37" t="s">
        <v>788</v>
      </c>
      <c r="C111" s="37">
        <v>1</v>
      </c>
      <c r="D111" s="34" t="s">
        <v>783</v>
      </c>
      <c r="E111" s="34" t="s">
        <v>782</v>
      </c>
      <c r="F111" s="34" t="s">
        <v>781</v>
      </c>
      <c r="G111" s="44">
        <f t="shared" si="9"/>
        <v>1509</v>
      </c>
      <c r="H111" s="44"/>
      <c r="I111" s="34" t="s">
        <v>780</v>
      </c>
      <c r="J111" s="73" t="str">
        <f>HYPERLINK("https://www.nite.go.jp/nbrc/dbrp/dataview?dataId=ANGE0000500030770","ダウンロード")</f>
        <v>ダウンロード</v>
      </c>
      <c r="K111" s="45"/>
    </row>
    <row r="112" spans="1:11" x14ac:dyDescent="0.45">
      <c r="A112" s="74" t="s">
        <v>1238</v>
      </c>
      <c r="B112" s="37" t="s">
        <v>787</v>
      </c>
      <c r="C112" s="37">
        <v>1</v>
      </c>
      <c r="D112" s="34" t="s">
        <v>783</v>
      </c>
      <c r="E112" s="34" t="s">
        <v>782</v>
      </c>
      <c r="F112" s="34" t="s">
        <v>781</v>
      </c>
      <c r="G112" s="44">
        <f t="shared" si="9"/>
        <v>1509</v>
      </c>
      <c r="H112" s="44"/>
      <c r="I112" s="34" t="s">
        <v>780</v>
      </c>
      <c r="J112" s="73" t="str">
        <f>HYPERLINK("https://www.nite.go.jp/nbrc/dbrp/dataview?dataId=ANGE0000500030771","ダウンロード")</f>
        <v>ダウンロード</v>
      </c>
      <c r="K112" s="45"/>
    </row>
    <row r="113" spans="1:11" x14ac:dyDescent="0.45">
      <c r="A113" s="74" t="s">
        <v>1238</v>
      </c>
      <c r="B113" s="37" t="s">
        <v>786</v>
      </c>
      <c r="C113" s="37">
        <v>1</v>
      </c>
      <c r="D113" s="34" t="s">
        <v>783</v>
      </c>
      <c r="E113" s="34" t="s">
        <v>782</v>
      </c>
      <c r="F113" s="34" t="s">
        <v>781</v>
      </c>
      <c r="G113" s="44">
        <f t="shared" si="9"/>
        <v>1509</v>
      </c>
      <c r="H113" s="44"/>
      <c r="I113" s="34" t="s">
        <v>780</v>
      </c>
      <c r="J113" s="73" t="str">
        <f>HYPERLINK("https://www.nite.go.jp/nbrc/dbrp/dataview?dataId=ANGE0000500030772","ダウンロード")</f>
        <v>ダウンロード</v>
      </c>
      <c r="K113" s="45"/>
    </row>
    <row r="114" spans="1:11" x14ac:dyDescent="0.45">
      <c r="A114" s="74" t="s">
        <v>1238</v>
      </c>
      <c r="B114" s="37" t="s">
        <v>785</v>
      </c>
      <c r="C114" s="37">
        <v>1</v>
      </c>
      <c r="D114" s="34" t="s">
        <v>783</v>
      </c>
      <c r="E114" s="34" t="s">
        <v>782</v>
      </c>
      <c r="F114" s="34" t="s">
        <v>781</v>
      </c>
      <c r="G114" s="44">
        <f t="shared" si="9"/>
        <v>1509</v>
      </c>
      <c r="H114" s="44"/>
      <c r="I114" s="34" t="s">
        <v>780</v>
      </c>
      <c r="J114" s="73" t="str">
        <f>HYPERLINK("https://www.nite.go.jp/nbrc/dbrp/dataview?dataId=ANGE0000500030773","ダウンロード")</f>
        <v>ダウンロード</v>
      </c>
      <c r="K114" s="45"/>
    </row>
    <row r="115" spans="1:11" x14ac:dyDescent="0.45">
      <c r="A115" s="74" t="s">
        <v>1238</v>
      </c>
      <c r="B115" s="37" t="s">
        <v>784</v>
      </c>
      <c r="C115" s="37">
        <v>1</v>
      </c>
      <c r="D115" s="34" t="s">
        <v>783</v>
      </c>
      <c r="E115" s="34" t="s">
        <v>782</v>
      </c>
      <c r="F115" s="34" t="s">
        <v>781</v>
      </c>
      <c r="G115" s="44">
        <f t="shared" si="9"/>
        <v>1509</v>
      </c>
      <c r="H115" s="44"/>
      <c r="I115" s="34" t="s">
        <v>780</v>
      </c>
      <c r="J115" s="73" t="str">
        <f>HYPERLINK("https://www.nite.go.jp/nbrc/dbrp/dataview?dataId=ANGE0000500030774","ダウンロード")</f>
        <v>ダウンロード</v>
      </c>
      <c r="K115" s="45"/>
    </row>
    <row r="116" spans="1:11" x14ac:dyDescent="0.45">
      <c r="A116" s="74" t="s">
        <v>1176</v>
      </c>
      <c r="B116" s="34" t="s">
        <v>839</v>
      </c>
      <c r="C116" s="34">
        <v>1</v>
      </c>
      <c r="D116" s="34" t="s">
        <v>783</v>
      </c>
      <c r="E116" s="34" t="s">
        <v>826</v>
      </c>
      <c r="F116" s="35" t="s">
        <v>764</v>
      </c>
      <c r="G116" s="44">
        <f t="shared" ref="G116:G121" si="11">HYPERLINK("https://www.nite.go.jp/nbrc/catalogue/NBRCMediumDetailServlet?NO=001545",1545)</f>
        <v>1545</v>
      </c>
      <c r="H116" s="44">
        <f t="shared" ref="H116:H121" si="12">HYPERLINK("https://www.nite.go.jp/nbrc/catalogue/NBRCMediumDetailServlet?NO=001509",1509)</f>
        <v>1509</v>
      </c>
      <c r="I116" s="35" t="s">
        <v>958</v>
      </c>
      <c r="J116" s="73" t="str">
        <f>HYPERLINK("https://www.nite.go.jp/nbrc/dbrp/dataview?dataId=ANGE0000500030775","ダウンロード")</f>
        <v>ダウンロード</v>
      </c>
      <c r="K116" s="45"/>
    </row>
    <row r="117" spans="1:11" x14ac:dyDescent="0.45">
      <c r="A117" s="74" t="s">
        <v>1176</v>
      </c>
      <c r="B117" s="34" t="s">
        <v>838</v>
      </c>
      <c r="C117" s="34">
        <v>1</v>
      </c>
      <c r="D117" s="34" t="s">
        <v>783</v>
      </c>
      <c r="E117" s="34" t="s">
        <v>807</v>
      </c>
      <c r="F117" s="35" t="s">
        <v>764</v>
      </c>
      <c r="G117" s="44">
        <f t="shared" si="11"/>
        <v>1545</v>
      </c>
      <c r="H117" s="44">
        <f t="shared" si="12"/>
        <v>1509</v>
      </c>
      <c r="I117" s="35" t="s">
        <v>958</v>
      </c>
      <c r="J117" s="73" t="str">
        <f>HYPERLINK("https://www.nite.go.jp/nbrc/dbrp/dataview?dataId=ANGE0000500030776","ダウンロード")</f>
        <v>ダウンロード</v>
      </c>
      <c r="K117" s="45"/>
    </row>
    <row r="118" spans="1:11" x14ac:dyDescent="0.45">
      <c r="A118" s="74" t="s">
        <v>1176</v>
      </c>
      <c r="B118" s="34" t="s">
        <v>837</v>
      </c>
      <c r="C118" s="34">
        <v>1</v>
      </c>
      <c r="D118" s="34" t="s">
        <v>783</v>
      </c>
      <c r="E118" s="34" t="s">
        <v>809</v>
      </c>
      <c r="F118" s="35" t="s">
        <v>764</v>
      </c>
      <c r="G118" s="44">
        <f t="shared" si="11"/>
        <v>1545</v>
      </c>
      <c r="H118" s="44">
        <f t="shared" si="12"/>
        <v>1509</v>
      </c>
      <c r="I118" s="35" t="s">
        <v>958</v>
      </c>
      <c r="J118" s="73" t="str">
        <f>HYPERLINK("https://www.nite.go.jp/nbrc/dbrp/dataview?dataId=ANGE0000500030777","ダウンロード")</f>
        <v>ダウンロード</v>
      </c>
      <c r="K118" s="45"/>
    </row>
    <row r="119" spans="1:11" x14ac:dyDescent="0.45">
      <c r="A119" s="74" t="s">
        <v>1176</v>
      </c>
      <c r="B119" s="34" t="s">
        <v>836</v>
      </c>
      <c r="C119" s="34">
        <v>1</v>
      </c>
      <c r="D119" s="34" t="s">
        <v>783</v>
      </c>
      <c r="E119" s="34" t="s">
        <v>826</v>
      </c>
      <c r="F119" s="35" t="s">
        <v>764</v>
      </c>
      <c r="G119" s="44">
        <f t="shared" si="11"/>
        <v>1545</v>
      </c>
      <c r="H119" s="44">
        <f t="shared" si="12"/>
        <v>1509</v>
      </c>
      <c r="I119" s="35" t="s">
        <v>958</v>
      </c>
      <c r="J119" s="73" t="str">
        <f>HYPERLINK("https://www.nite.go.jp/nbrc/dbrp/dataview?dataId=ANGE0000500030778","ダウンロード")</f>
        <v>ダウンロード</v>
      </c>
      <c r="K119" s="45"/>
    </row>
    <row r="120" spans="1:11" x14ac:dyDescent="0.45">
      <c r="A120" s="74" t="s">
        <v>1239</v>
      </c>
      <c r="B120" s="34" t="s">
        <v>808</v>
      </c>
      <c r="C120" s="34">
        <v>1</v>
      </c>
      <c r="D120" s="34" t="s">
        <v>783</v>
      </c>
      <c r="E120" s="34" t="s">
        <v>807</v>
      </c>
      <c r="F120" s="35" t="s">
        <v>764</v>
      </c>
      <c r="G120" s="44">
        <f t="shared" si="11"/>
        <v>1545</v>
      </c>
      <c r="H120" s="44">
        <f t="shared" si="12"/>
        <v>1509</v>
      </c>
      <c r="I120" s="35" t="s">
        <v>958</v>
      </c>
      <c r="J120" s="73" t="str">
        <f>HYPERLINK("https://www.nite.go.jp/nbrc/dbrp/dataview?dataId=ANGE0000500030779","ダウンロード")</f>
        <v>ダウンロード</v>
      </c>
      <c r="K120" s="45"/>
    </row>
    <row r="121" spans="1:11" x14ac:dyDescent="0.45">
      <c r="A121" s="74" t="s">
        <v>1183</v>
      </c>
      <c r="B121" s="34" t="s">
        <v>850</v>
      </c>
      <c r="C121" s="34">
        <v>1</v>
      </c>
      <c r="D121" s="34" t="s">
        <v>783</v>
      </c>
      <c r="E121" s="34" t="s">
        <v>809</v>
      </c>
      <c r="F121" s="35" t="s">
        <v>764</v>
      </c>
      <c r="G121" s="44">
        <f t="shared" si="11"/>
        <v>1545</v>
      </c>
      <c r="H121" s="44">
        <f t="shared" si="12"/>
        <v>1509</v>
      </c>
      <c r="I121" s="35" t="s">
        <v>958</v>
      </c>
      <c r="J121" s="73" t="str">
        <f>HYPERLINK("https://www.nite.go.jp/nbrc/dbrp/dataview?dataId=ANGE0000500030780","ダウンロード")</f>
        <v>ダウンロード</v>
      </c>
      <c r="K121" s="45"/>
    </row>
    <row r="122" spans="1:11" x14ac:dyDescent="0.45">
      <c r="A122" s="74" t="s">
        <v>1183</v>
      </c>
      <c r="B122" s="34" t="s">
        <v>849</v>
      </c>
      <c r="C122" s="34">
        <v>1</v>
      </c>
      <c r="D122" s="34" t="s">
        <v>783</v>
      </c>
      <c r="E122" s="34" t="s">
        <v>809</v>
      </c>
      <c r="F122" s="35" t="s">
        <v>764</v>
      </c>
      <c r="G122" s="44">
        <f>HYPERLINK("https://www.nite.go.jp/nbrc/catalogue/NBRCMediumDetailServlet?NO=000253",253)</f>
        <v>253</v>
      </c>
      <c r="H122" s="44">
        <f>HYPERLINK("https://www.nite.go.jp/nbrc/catalogue/NBRCMediumDetailServlet?NO=001572",1572)</f>
        <v>1572</v>
      </c>
      <c r="I122" s="35" t="s">
        <v>958</v>
      </c>
      <c r="J122" s="73" t="str">
        <f>HYPERLINK("https://www.nite.go.jp/nbrc/dbrp/dataview?dataId=ANGE0000500030781","ダウンロード")</f>
        <v>ダウンロード</v>
      </c>
    </row>
    <row r="123" spans="1:11" x14ac:dyDescent="0.45">
      <c r="A123" s="74" t="s">
        <v>1183</v>
      </c>
      <c r="B123" s="34" t="s">
        <v>848</v>
      </c>
      <c r="C123" s="34">
        <v>1</v>
      </c>
      <c r="D123" s="34" t="s">
        <v>783</v>
      </c>
      <c r="E123" s="34" t="s">
        <v>809</v>
      </c>
      <c r="F123" s="35" t="s">
        <v>764</v>
      </c>
      <c r="G123" s="44">
        <f>HYPERLINK("https://www.nite.go.jp/nbrc/catalogue/NBRCMediumDetailServlet?NO=000253",253)</f>
        <v>253</v>
      </c>
      <c r="H123" s="44">
        <f>HYPERLINK("https://www.nite.go.jp/nbrc/catalogue/NBRCMediumDetailServlet?NO=001572",1572)</f>
        <v>1572</v>
      </c>
      <c r="I123" s="35" t="s">
        <v>958</v>
      </c>
      <c r="J123" s="73" t="str">
        <f>HYPERLINK("https://www.nite.go.jp/nbrc/dbrp/dataview?dataId=ANGE0000500030782","ダウンロード")</f>
        <v>ダウンロード</v>
      </c>
    </row>
    <row r="124" spans="1:11" x14ac:dyDescent="0.45">
      <c r="A124" s="74" t="s">
        <v>1183</v>
      </c>
      <c r="B124" s="34" t="s">
        <v>847</v>
      </c>
      <c r="C124" s="34">
        <v>1</v>
      </c>
      <c r="D124" s="34" t="s">
        <v>783</v>
      </c>
      <c r="E124" s="34" t="s">
        <v>820</v>
      </c>
      <c r="F124" s="35" t="s">
        <v>764</v>
      </c>
      <c r="G124" s="44">
        <f>HYPERLINK("https://www.nite.go.jp/nbrc/catalogue/NBRCMediumDetailServlet?NO=000253",253)</f>
        <v>253</v>
      </c>
      <c r="H124" s="44">
        <f>HYPERLINK("https://www.nite.go.jp/nbrc/catalogue/NBRCMediumDetailServlet?NO=001572",1572)</f>
        <v>1572</v>
      </c>
      <c r="I124" s="35" t="s">
        <v>958</v>
      </c>
      <c r="J124" s="73" t="str">
        <f>HYPERLINK("https://www.nite.go.jp/nbrc/dbrp/dataview?dataId=ANGE0000500030783","ダウンロード")</f>
        <v>ダウンロード</v>
      </c>
    </row>
    <row r="125" spans="1:11" x14ac:dyDescent="0.45">
      <c r="A125" s="70" t="s">
        <v>1183</v>
      </c>
      <c r="B125" s="46" t="s">
        <v>1062</v>
      </c>
      <c r="C125" s="46" t="s">
        <v>989</v>
      </c>
      <c r="D125" s="47" t="s">
        <v>783</v>
      </c>
      <c r="E125" s="47" t="s">
        <v>820</v>
      </c>
      <c r="F125" s="47" t="s">
        <v>764</v>
      </c>
      <c r="G125" s="48">
        <f>HYPERLINK("https://www.nite.go.jp/nbrc/catalogue/NBRCMediumDetailServlet?NO=000253",253)</f>
        <v>253</v>
      </c>
      <c r="H125" s="48">
        <f>HYPERLINK("https://www.nite.go.jp/nbrc/catalogue/NBRCMediumDetailServlet?NO=001572",1572)</f>
        <v>1572</v>
      </c>
      <c r="I125" s="49" t="s">
        <v>958</v>
      </c>
      <c r="J125" s="71" t="str">
        <f>HYPERLINK("mailto:rd@nite.go.jp","コチラにお問い合わせ下さい。")</f>
        <v>コチラにお問い合わせ下さい。</v>
      </c>
    </row>
    <row r="126" spans="1:11" x14ac:dyDescent="0.45">
      <c r="A126" s="74" t="s">
        <v>1183</v>
      </c>
      <c r="B126" s="34" t="s">
        <v>846</v>
      </c>
      <c r="C126" s="34">
        <v>1</v>
      </c>
      <c r="D126" s="34" t="s">
        <v>783</v>
      </c>
      <c r="E126" s="34" t="s">
        <v>809</v>
      </c>
      <c r="F126" s="35" t="s">
        <v>764</v>
      </c>
      <c r="G126" s="44">
        <f>HYPERLINK("https://www.nite.go.jp/nbrc/catalogue/NBRCMediumDetailServlet?NO=001545",1545)</f>
        <v>1545</v>
      </c>
      <c r="H126" s="44">
        <f>HYPERLINK("https://www.nite.go.jp/nbrc/catalogue/NBRCMediumDetailServlet?NO=001509",1509)</f>
        <v>1509</v>
      </c>
      <c r="I126" s="35" t="s">
        <v>958</v>
      </c>
      <c r="J126" s="73" t="str">
        <f>HYPERLINK("https://www.nite.go.jp/nbrc/dbrp/dataview?dataId=ANGE0000500030784","ダウンロード")</f>
        <v>ダウンロード</v>
      </c>
    </row>
    <row r="127" spans="1:11" x14ac:dyDescent="0.45">
      <c r="A127" s="70" t="s">
        <v>1183</v>
      </c>
      <c r="B127" s="46" t="s">
        <v>1063</v>
      </c>
      <c r="C127" s="46" t="s">
        <v>988</v>
      </c>
      <c r="D127" s="47" t="s">
        <v>783</v>
      </c>
      <c r="E127" s="47" t="s">
        <v>809</v>
      </c>
      <c r="F127" s="47" t="s">
        <v>764</v>
      </c>
      <c r="G127" s="48">
        <f>HYPERLINK("https://www.nite.go.jp/nbrc/catalogue/NBRCMediumDetailServlet?NO=000253",253)</f>
        <v>253</v>
      </c>
      <c r="H127" s="48">
        <f>HYPERLINK("https://www.nite.go.jp/nbrc/catalogue/NBRCMediumDetailServlet?NO=001572",1572)</f>
        <v>1572</v>
      </c>
      <c r="I127" s="49" t="s">
        <v>958</v>
      </c>
      <c r="J127" s="71" t="str">
        <f t="shared" ref="J127:J129" si="13">HYPERLINK("mailto:rd@nite.go.jp","コチラにお問い合わせ下さい。")</f>
        <v>コチラにお問い合わせ下さい。</v>
      </c>
    </row>
    <row r="128" spans="1:11" x14ac:dyDescent="0.45">
      <c r="A128" s="70" t="s">
        <v>1197</v>
      </c>
      <c r="B128" s="46" t="s">
        <v>1064</v>
      </c>
      <c r="C128" s="46" t="s">
        <v>989</v>
      </c>
      <c r="D128" s="47" t="s">
        <v>783</v>
      </c>
      <c r="E128" s="47" t="s">
        <v>809</v>
      </c>
      <c r="F128" s="47" t="s">
        <v>764</v>
      </c>
      <c r="G128" s="48">
        <f>HYPERLINK("https://www.nite.go.jp/nbrc/catalogue/NBRCMediumDetailServlet?NO=001545",1545)</f>
        <v>1545</v>
      </c>
      <c r="H128" s="48">
        <f>HYPERLINK("https://www.nite.go.jp/nbrc/catalogue/NBRCMediumDetailServlet?NO=001509",1509)</f>
        <v>1509</v>
      </c>
      <c r="I128" s="49" t="s">
        <v>958</v>
      </c>
      <c r="J128" s="71" t="str">
        <f t="shared" si="13"/>
        <v>コチラにお問い合わせ下さい。</v>
      </c>
    </row>
    <row r="129" spans="1:10" x14ac:dyDescent="0.45">
      <c r="A129" s="70" t="s">
        <v>1197</v>
      </c>
      <c r="B129" s="46" t="s">
        <v>1065</v>
      </c>
      <c r="C129" s="46" t="s">
        <v>989</v>
      </c>
      <c r="D129" s="47" t="s">
        <v>783</v>
      </c>
      <c r="E129" s="47" t="s">
        <v>809</v>
      </c>
      <c r="F129" s="47" t="s">
        <v>764</v>
      </c>
      <c r="G129" s="48">
        <f>HYPERLINK("https://www.nite.go.jp/nbrc/catalogue/NBRCMediumDetailServlet?NO=000253",253)</f>
        <v>253</v>
      </c>
      <c r="H129" s="48">
        <f>HYPERLINK("https://www.nite.go.jp/nbrc/catalogue/NBRCMediumDetailServlet?NO=001572",1572)</f>
        <v>1572</v>
      </c>
      <c r="I129" s="49" t="s">
        <v>958</v>
      </c>
      <c r="J129" s="71" t="str">
        <f t="shared" si="13"/>
        <v>コチラにお問い合わせ下さい。</v>
      </c>
    </row>
    <row r="130" spans="1:10" x14ac:dyDescent="0.45">
      <c r="A130" s="74" t="s">
        <v>1240</v>
      </c>
      <c r="B130" s="34" t="s">
        <v>821</v>
      </c>
      <c r="C130" s="34">
        <v>1</v>
      </c>
      <c r="D130" s="34" t="s">
        <v>783</v>
      </c>
      <c r="E130" s="34" t="s">
        <v>820</v>
      </c>
      <c r="F130" s="35" t="s">
        <v>764</v>
      </c>
      <c r="G130" s="44">
        <f>HYPERLINK("https://www.nite.go.jp/nbrc/catalogue/NBRCMediumDetailServlet?NO=001545",1545)</f>
        <v>1545</v>
      </c>
      <c r="H130" s="44">
        <f>HYPERLINK("https://www.nite.go.jp/nbrc/catalogue/NBRCMediumDetailServlet?NO=001509",1509)</f>
        <v>1509</v>
      </c>
      <c r="I130" s="35" t="s">
        <v>958</v>
      </c>
      <c r="J130" s="73" t="str">
        <f>HYPERLINK("https://www.nite.go.jp/nbrc/dbrp/dataview?dataId=ANGE0000500030785","ダウンロード")</f>
        <v>ダウンロード</v>
      </c>
    </row>
    <row r="131" spans="1:10" x14ac:dyDescent="0.45">
      <c r="A131" s="70" t="s">
        <v>1198</v>
      </c>
      <c r="B131" s="46" t="s">
        <v>1066</v>
      </c>
      <c r="C131" s="46" t="s">
        <v>989</v>
      </c>
      <c r="D131" s="47" t="s">
        <v>783</v>
      </c>
      <c r="E131" s="47" t="s">
        <v>809</v>
      </c>
      <c r="F131" s="47" t="s">
        <v>764</v>
      </c>
      <c r="G131" s="48">
        <f>HYPERLINK("https://www.nite.go.jp/nbrc/catalogue/NBRCMediumDetailServlet?NO=001572",1572)</f>
        <v>1572</v>
      </c>
      <c r="H131" s="48"/>
      <c r="I131" s="49" t="s">
        <v>958</v>
      </c>
      <c r="J131" s="71" t="str">
        <f>HYPERLINK("mailto:rd@nite.go.jp","コチラにお問い合わせ下さい。")</f>
        <v>コチラにお問い合わせ下さい。</v>
      </c>
    </row>
    <row r="132" spans="1:10" x14ac:dyDescent="0.45">
      <c r="A132" s="74" t="s">
        <v>1184</v>
      </c>
      <c r="B132" s="34" t="s">
        <v>814</v>
      </c>
      <c r="C132" s="34">
        <v>1</v>
      </c>
      <c r="D132" s="34" t="s">
        <v>783</v>
      </c>
      <c r="E132" s="34" t="s">
        <v>809</v>
      </c>
      <c r="F132" s="35" t="s">
        <v>764</v>
      </c>
      <c r="G132" s="44">
        <f>HYPERLINK("https://www.nite.go.jp/nbrc/catalogue/NBRCMediumDetailServlet?NO=000253",253)</f>
        <v>253</v>
      </c>
      <c r="H132" s="44">
        <f>HYPERLINK("https://www.nite.go.jp/nbrc/catalogue/NBRCMediumDetailServlet?NO=001572",1572)</f>
        <v>1572</v>
      </c>
      <c r="I132" s="35" t="s">
        <v>958</v>
      </c>
      <c r="J132" s="73" t="str">
        <f>HYPERLINK("https://www.nite.go.jp/nbrc/dbrp/dataview?dataId=ANGE0000500030786","ダウンロード")</f>
        <v>ダウンロード</v>
      </c>
    </row>
    <row r="133" spans="1:10" x14ac:dyDescent="0.45">
      <c r="A133" s="74" t="s">
        <v>1241</v>
      </c>
      <c r="B133" s="37" t="s">
        <v>796</v>
      </c>
      <c r="C133" s="37">
        <v>1</v>
      </c>
      <c r="D133" s="34" t="s">
        <v>783</v>
      </c>
      <c r="E133" s="34" t="s">
        <v>794</v>
      </c>
      <c r="F133" s="34" t="s">
        <v>793</v>
      </c>
      <c r="G133" s="44">
        <f>HYPERLINK("https://www.nite.go.jp/nbrc/catalogue/NBRCMediumDetailServlet?NO=001572",1572)</f>
        <v>1572</v>
      </c>
      <c r="H133" s="44">
        <f>HYPERLINK("https://www.nite.go.jp/nbrc/catalogue/NBRCMediumDetailServlet?NO=000253",253)</f>
        <v>253</v>
      </c>
      <c r="I133" s="35" t="s">
        <v>958</v>
      </c>
      <c r="J133" s="73" t="str">
        <f>HYPERLINK("https://www.nite.go.jp/nbrc/dbrp/dataview?dataId=ANGE0000500030787","ダウンロード")</f>
        <v>ダウンロード</v>
      </c>
    </row>
    <row r="134" spans="1:10" x14ac:dyDescent="0.45">
      <c r="A134" s="74" t="s">
        <v>1215</v>
      </c>
      <c r="B134" s="34" t="s">
        <v>854</v>
      </c>
      <c r="C134" s="34">
        <v>1</v>
      </c>
      <c r="D134" s="34" t="s">
        <v>783</v>
      </c>
      <c r="E134" s="34" t="s">
        <v>820</v>
      </c>
      <c r="F134" s="35" t="s">
        <v>764</v>
      </c>
      <c r="G134" s="44">
        <f>HYPERLINK("https://www.nite.go.jp/nbrc/catalogue/NBRCMediumDetailServlet?NO=001545",1545)</f>
        <v>1545</v>
      </c>
      <c r="H134" s="44">
        <f>HYPERLINK("https://www.nite.go.jp/nbrc/catalogue/NBRCMediumDetailServlet?NO=001509",1509)</f>
        <v>1509</v>
      </c>
      <c r="I134" s="35" t="s">
        <v>958</v>
      </c>
      <c r="J134" s="73" t="str">
        <f>HYPERLINK("https://www.nite.go.jp/nbrc/dbrp/dataview?dataId=ANGE0000500030788","ダウンロード")</f>
        <v>ダウンロード</v>
      </c>
    </row>
    <row r="135" spans="1:10" x14ac:dyDescent="0.45">
      <c r="A135" s="74" t="s">
        <v>1215</v>
      </c>
      <c r="B135" s="34" t="s">
        <v>853</v>
      </c>
      <c r="C135" s="34">
        <v>1</v>
      </c>
      <c r="D135" s="34" t="s">
        <v>783</v>
      </c>
      <c r="E135" s="34" t="s">
        <v>826</v>
      </c>
      <c r="F135" s="35" t="s">
        <v>764</v>
      </c>
      <c r="G135" s="44">
        <f>HYPERLINK("https://www.nite.go.jp/nbrc/catalogue/NBRCMediumDetailServlet?NO=001572",1572)</f>
        <v>1572</v>
      </c>
      <c r="H135" s="44">
        <f>HYPERLINK("https://www.nite.go.jp/nbrc/catalogue/NBRCMediumDetailServlet?NO=000253",253)</f>
        <v>253</v>
      </c>
      <c r="I135" s="35" t="s">
        <v>958</v>
      </c>
      <c r="J135" s="73" t="str">
        <f>HYPERLINK("https://www.nite.go.jp/nbrc/dbrp/dataview?dataId=ANGE0000500030789","ダウンロード")</f>
        <v>ダウンロード</v>
      </c>
    </row>
    <row r="136" spans="1:10" x14ac:dyDescent="0.45">
      <c r="A136" s="74" t="s">
        <v>1215</v>
      </c>
      <c r="B136" s="34" t="s">
        <v>852</v>
      </c>
      <c r="C136" s="34">
        <v>1</v>
      </c>
      <c r="D136" s="34" t="s">
        <v>783</v>
      </c>
      <c r="E136" s="34" t="s">
        <v>826</v>
      </c>
      <c r="F136" s="35" t="s">
        <v>764</v>
      </c>
      <c r="G136" s="44">
        <f>HYPERLINK("https://www.nite.go.jp/nbrc/catalogue/NBRCMediumDetailServlet?NO=000253",253)</f>
        <v>253</v>
      </c>
      <c r="H136" s="44">
        <f>HYPERLINK("https://www.nite.go.jp/nbrc/catalogue/NBRCMediumDetailServlet?NO=001572",1572)</f>
        <v>1572</v>
      </c>
      <c r="I136" s="35" t="s">
        <v>958</v>
      </c>
      <c r="J136" s="73" t="str">
        <f>HYPERLINK("https://www.nite.go.jp/nbrc/dbrp/dataview?dataId=ANGE0000500030790","ダウンロード")</f>
        <v>ダウンロード</v>
      </c>
    </row>
    <row r="137" spans="1:10" x14ac:dyDescent="0.45">
      <c r="A137" s="74" t="s">
        <v>1215</v>
      </c>
      <c r="B137" s="34" t="s">
        <v>851</v>
      </c>
      <c r="C137" s="34">
        <v>1</v>
      </c>
      <c r="D137" s="34" t="s">
        <v>783</v>
      </c>
      <c r="E137" s="34" t="s">
        <v>826</v>
      </c>
      <c r="F137" s="35" t="s">
        <v>764</v>
      </c>
      <c r="G137" s="44">
        <f>HYPERLINK("https://www.nite.go.jp/nbrc/catalogue/NBRCMediumDetailServlet?NO=001545",1545)</f>
        <v>1545</v>
      </c>
      <c r="H137" s="44">
        <f>HYPERLINK("https://www.nite.go.jp/nbrc/catalogue/NBRCMediumDetailServlet?NO=001509",1509)</f>
        <v>1509</v>
      </c>
      <c r="I137" s="35" t="s">
        <v>958</v>
      </c>
      <c r="J137" s="73" t="str">
        <f>HYPERLINK("https://www.nite.go.jp/nbrc/dbrp/dataview?dataId=ANGE0000500030791","ダウンロード")</f>
        <v>ダウンロード</v>
      </c>
    </row>
    <row r="138" spans="1:10" x14ac:dyDescent="0.45">
      <c r="A138" s="74" t="s">
        <v>1221</v>
      </c>
      <c r="B138" s="34" t="s">
        <v>827</v>
      </c>
      <c r="C138" s="34">
        <v>1</v>
      </c>
      <c r="D138" s="34" t="s">
        <v>783</v>
      </c>
      <c r="E138" s="34" t="s">
        <v>826</v>
      </c>
      <c r="F138" s="35" t="s">
        <v>764</v>
      </c>
      <c r="G138" s="44">
        <f>HYPERLINK("https://www.nite.go.jp/nbrc/catalogue/NBRCMediumDetailServlet?NO=001545",1545)</f>
        <v>1545</v>
      </c>
      <c r="H138" s="44">
        <f>HYPERLINK("https://www.nite.go.jp/nbrc/catalogue/NBRCMediumDetailServlet?NO=001509",1509)</f>
        <v>1509</v>
      </c>
      <c r="I138" s="35" t="s">
        <v>958</v>
      </c>
      <c r="J138" s="73" t="str">
        <f>HYPERLINK("https://www.nite.go.jp/nbrc/dbrp/dataview?dataId=ANGE0000500030792","ダウンロード")</f>
        <v>ダウンロード</v>
      </c>
    </row>
    <row r="139" spans="1:10" x14ac:dyDescent="0.45">
      <c r="A139" s="74" t="s">
        <v>1203</v>
      </c>
      <c r="B139" s="37" t="s">
        <v>795</v>
      </c>
      <c r="C139" s="37">
        <v>1</v>
      </c>
      <c r="D139" s="34" t="s">
        <v>783</v>
      </c>
      <c r="E139" s="34" t="s">
        <v>794</v>
      </c>
      <c r="F139" s="34" t="s">
        <v>793</v>
      </c>
      <c r="G139" s="44">
        <f>HYPERLINK("https://www.nite.go.jp/nbrc/catalogue/NBRCMediumDetailServlet?NO=001573",1573)</f>
        <v>1573</v>
      </c>
      <c r="H139" s="44"/>
      <c r="I139" s="35" t="s">
        <v>958</v>
      </c>
      <c r="J139" s="73" t="str">
        <f>HYPERLINK("https://www.nite.go.jp/nbrc/dbrp/dataview?dataId=ANGE0000500030793","ダウンロード")</f>
        <v>ダウンロード</v>
      </c>
    </row>
    <row r="140" spans="1:10" x14ac:dyDescent="0.45">
      <c r="A140" s="74" t="s">
        <v>1233</v>
      </c>
      <c r="B140" s="34" t="s">
        <v>810</v>
      </c>
      <c r="C140" s="34">
        <v>1</v>
      </c>
      <c r="D140" s="34" t="s">
        <v>783</v>
      </c>
      <c r="E140" s="34" t="s">
        <v>809</v>
      </c>
      <c r="F140" s="35" t="s">
        <v>764</v>
      </c>
      <c r="G140" s="44">
        <f>HYPERLINK("https://www.nite.go.jp/nbrc/catalogue/NBRCMediumDetailServlet?NO=001572",1572)</f>
        <v>1572</v>
      </c>
      <c r="H140" s="44"/>
      <c r="I140" s="35" t="s">
        <v>958</v>
      </c>
      <c r="J140" s="73" t="str">
        <f>HYPERLINK("https://www.nite.go.jp/nbrc/dbrp/dataview?dataId=ANGE0000500030794","ダウンロード")</f>
        <v>ダウンロード</v>
      </c>
    </row>
    <row r="141" spans="1:10" x14ac:dyDescent="0.45">
      <c r="A141" s="70" t="s">
        <v>1199</v>
      </c>
      <c r="B141" s="46" t="s">
        <v>1067</v>
      </c>
      <c r="C141" s="46" t="s">
        <v>989</v>
      </c>
      <c r="D141" s="47" t="s">
        <v>783</v>
      </c>
      <c r="E141" s="47" t="s">
        <v>794</v>
      </c>
      <c r="F141" s="47" t="s">
        <v>897</v>
      </c>
      <c r="G141" s="48">
        <f>HYPERLINK("https://www.nite.go.jp/nbrc/catalogue/NBRCMediumDetailServlet?NO=001509",1509)</f>
        <v>1509</v>
      </c>
      <c r="H141" s="48">
        <f>HYPERLINK("https://www.nite.go.jp/nbrc/catalogue/NBRCMediumDetailServlet?NO=001545",1545)</f>
        <v>1545</v>
      </c>
      <c r="I141" s="50" t="s">
        <v>780</v>
      </c>
      <c r="J141" s="71" t="str">
        <f>HYPERLINK("mailto:rd@nite.go.jp","コチラにお問い合わせ下さい。")</f>
        <v>コチラにお問い合わせ下さい。</v>
      </c>
    </row>
    <row r="142" spans="1:10" x14ac:dyDescent="0.45">
      <c r="A142" s="74" t="s">
        <v>1227</v>
      </c>
      <c r="B142" s="37" t="s">
        <v>867</v>
      </c>
      <c r="C142" s="37">
        <v>1</v>
      </c>
      <c r="D142" s="34" t="s">
        <v>783</v>
      </c>
      <c r="E142" s="34" t="s">
        <v>862</v>
      </c>
      <c r="F142" s="34" t="s">
        <v>799</v>
      </c>
      <c r="G142" s="44">
        <f>HYPERLINK("https://www.nite.go.jp/nbrc/catalogue/NBRCMediumDetailServlet?NO=001572",1572)</f>
        <v>1572</v>
      </c>
      <c r="H142" s="44"/>
      <c r="I142" s="35" t="s">
        <v>958</v>
      </c>
      <c r="J142" s="73" t="str">
        <f>HYPERLINK("https://www.nite.go.jp/nbrc/dbrp/dataview?dataId=ANGE0000500030795","ダウンロード")</f>
        <v>ダウンロード</v>
      </c>
    </row>
    <row r="143" spans="1:10" x14ac:dyDescent="0.45">
      <c r="A143" s="74" t="s">
        <v>1200</v>
      </c>
      <c r="B143" s="37" t="s">
        <v>798</v>
      </c>
      <c r="C143" s="37">
        <v>1</v>
      </c>
      <c r="D143" s="34" t="s">
        <v>783</v>
      </c>
      <c r="E143" s="34" t="s">
        <v>794</v>
      </c>
      <c r="F143" s="34" t="s">
        <v>793</v>
      </c>
      <c r="G143" s="44">
        <f>HYPERLINK("https://www.nite.go.jp/nbrc/catalogue/NBRCMediumDetailServlet?NO=001509",1509)</f>
        <v>1509</v>
      </c>
      <c r="H143" s="44">
        <f>HYPERLINK("https://www.nite.go.jp/nbrc/catalogue/NBRCMediumDetailServlet?NO=001545",1545)</f>
        <v>1545</v>
      </c>
      <c r="I143" s="34" t="s">
        <v>780</v>
      </c>
      <c r="J143" s="73" t="str">
        <f>HYPERLINK("https://www.nite.go.jp/nbrc/dbrp/dataview?dataId=ANGE0000500030796","ダウンロード")</f>
        <v>ダウンロード</v>
      </c>
    </row>
    <row r="144" spans="1:10" x14ac:dyDescent="0.45">
      <c r="A144" s="70" t="s">
        <v>1200</v>
      </c>
      <c r="B144" s="46" t="s">
        <v>1068</v>
      </c>
      <c r="C144" s="46" t="s">
        <v>989</v>
      </c>
      <c r="D144" s="47" t="s">
        <v>990</v>
      </c>
      <c r="E144" s="47" t="s">
        <v>794</v>
      </c>
      <c r="F144" s="47" t="s">
        <v>897</v>
      </c>
      <c r="G144" s="48">
        <f>HYPERLINK("https://www.nite.go.jp/nbrc/catalogue/NBRCMediumDetailServlet?NO=000253",253)</f>
        <v>253</v>
      </c>
      <c r="H144" s="48">
        <f>HYPERLINK("https://www.nite.go.jp/nbrc/catalogue/NBRCMediumDetailServlet?NO=001572",1572)</f>
        <v>1572</v>
      </c>
      <c r="I144" s="49" t="s">
        <v>958</v>
      </c>
      <c r="J144" s="71" t="str">
        <f t="shared" ref="J144:J145" si="14">HYPERLINK("mailto:rd@nite.go.jp","コチラにお問い合わせ下さい。")</f>
        <v>コチラにお問い合わせ下さい。</v>
      </c>
    </row>
    <row r="145" spans="1:10" x14ac:dyDescent="0.45">
      <c r="A145" s="70" t="s">
        <v>1200</v>
      </c>
      <c r="B145" s="46" t="s">
        <v>1069</v>
      </c>
      <c r="C145" s="46" t="s">
        <v>989</v>
      </c>
      <c r="D145" s="47" t="s">
        <v>990</v>
      </c>
      <c r="E145" s="47" t="s">
        <v>862</v>
      </c>
      <c r="F145" s="47" t="s">
        <v>799</v>
      </c>
      <c r="G145" s="48">
        <f>HYPERLINK("https://www.nite.go.jp/nbrc/catalogue/NBRCMediumDetailServlet?NO=000253",253)</f>
        <v>253</v>
      </c>
      <c r="H145" s="48">
        <f>HYPERLINK("https://www.nite.go.jp/nbrc/catalogue/NBRCMediumDetailServlet?NO=001572",1572)</f>
        <v>1572</v>
      </c>
      <c r="I145" s="49" t="s">
        <v>958</v>
      </c>
      <c r="J145" s="71" t="str">
        <f t="shared" si="14"/>
        <v>コチラにお問い合わせ下さい。</v>
      </c>
    </row>
    <row r="146" spans="1:10" x14ac:dyDescent="0.45">
      <c r="A146" s="74" t="s">
        <v>1242</v>
      </c>
      <c r="B146" s="37" t="s">
        <v>797</v>
      </c>
      <c r="C146" s="37">
        <v>1</v>
      </c>
      <c r="D146" s="34" t="s">
        <v>783</v>
      </c>
      <c r="E146" s="34" t="s">
        <v>794</v>
      </c>
      <c r="F146" s="34" t="s">
        <v>793</v>
      </c>
      <c r="G146" s="44">
        <f>HYPERLINK("https://www.nite.go.jp/nbrc/catalogue/NBRCMediumDetailServlet?NO=001509",1509)</f>
        <v>1509</v>
      </c>
      <c r="H146" s="44">
        <f>HYPERLINK("https://www.nite.go.jp/nbrc/catalogue/NBRCMediumDetailServlet?NO=001545",1545)</f>
        <v>1545</v>
      </c>
      <c r="I146" s="34" t="s">
        <v>780</v>
      </c>
      <c r="J146" s="73" t="str">
        <f>HYPERLINK("https://www.nite.go.jp/nbrc/dbrp/dataview?dataId=ANGE0000500030797","ダウンロード")</f>
        <v>ダウンロード</v>
      </c>
    </row>
    <row r="147" spans="1:10" x14ac:dyDescent="0.45">
      <c r="A147" s="74" t="s">
        <v>1243</v>
      </c>
      <c r="B147" s="37" t="s">
        <v>800</v>
      </c>
      <c r="C147" s="37">
        <v>1</v>
      </c>
      <c r="D147" s="34" t="s">
        <v>783</v>
      </c>
      <c r="E147" s="34" t="s">
        <v>862</v>
      </c>
      <c r="F147" s="34" t="s">
        <v>799</v>
      </c>
      <c r="G147" s="44">
        <f>HYPERLINK("https://www.nite.go.jp/nbrc/catalogue/NBRCMediumDetailServlet?NO=001509",1509)</f>
        <v>1509</v>
      </c>
      <c r="H147" s="44"/>
      <c r="I147" s="35" t="s">
        <v>958</v>
      </c>
      <c r="J147" s="73" t="str">
        <f>HYPERLINK("https://www.nite.go.jp/nbrc/dbrp/dataview?dataId=ANGE0000500030798","ダウンロード")</f>
        <v>ダウンロード</v>
      </c>
    </row>
    <row r="148" spans="1:10" x14ac:dyDescent="0.45">
      <c r="A148" s="74" t="s">
        <v>1244</v>
      </c>
      <c r="B148" s="34" t="s">
        <v>823</v>
      </c>
      <c r="C148" s="34">
        <v>1</v>
      </c>
      <c r="D148" s="34" t="s">
        <v>783</v>
      </c>
      <c r="E148" s="34" t="s">
        <v>820</v>
      </c>
      <c r="F148" s="35" t="s">
        <v>764</v>
      </c>
      <c r="G148" s="44">
        <f>HYPERLINK("https://www.nite.go.jp/nbrc/catalogue/NBRCMediumDetailServlet?NO=001572",1572)</f>
        <v>1572</v>
      </c>
      <c r="H148" s="44"/>
      <c r="I148" s="35" t="s">
        <v>958</v>
      </c>
      <c r="J148" s="73" t="str">
        <f>HYPERLINK("https://www.nite.go.jp/nbrc/dbrp/dataview?dataId=ANGE0000500030799","ダウンロード")</f>
        <v>ダウンロード</v>
      </c>
    </row>
    <row r="149" spans="1:10" x14ac:dyDescent="0.45">
      <c r="A149" s="70" t="s">
        <v>1176</v>
      </c>
      <c r="B149" s="46" t="s">
        <v>1070</v>
      </c>
      <c r="C149" s="46" t="s">
        <v>988</v>
      </c>
      <c r="D149" s="47" t="s">
        <v>965</v>
      </c>
      <c r="E149" s="47" t="s">
        <v>794</v>
      </c>
      <c r="F149" s="47" t="s">
        <v>897</v>
      </c>
      <c r="G149" s="48">
        <f>HYPERLINK("https://www.nite.go.jp/nbrc/catalogue/NBRCMediumDetailServlet?NO=001573",1573)</f>
        <v>1573</v>
      </c>
      <c r="H149" s="48"/>
      <c r="I149" s="49" t="s">
        <v>958</v>
      </c>
      <c r="J149" s="71" t="str">
        <f t="shared" ref="J149:J187" si="15">HYPERLINK("mailto:rd@nite.go.jp","コチラにお問い合わせ下さい。")</f>
        <v>コチラにお問い合わせ下さい。</v>
      </c>
    </row>
    <row r="150" spans="1:10" x14ac:dyDescent="0.45">
      <c r="A150" s="70" t="s">
        <v>1177</v>
      </c>
      <c r="B150" s="46" t="s">
        <v>1071</v>
      </c>
      <c r="C150" s="46" t="s">
        <v>988</v>
      </c>
      <c r="D150" s="47" t="s">
        <v>965</v>
      </c>
      <c r="E150" s="47" t="s">
        <v>807</v>
      </c>
      <c r="F150" s="47" t="s">
        <v>764</v>
      </c>
      <c r="G150" s="48">
        <f>HYPERLINK("https://www.nite.go.jp/nbrc/catalogue/NBRCMediumDetailServlet?NO=001545",1545)</f>
        <v>1545</v>
      </c>
      <c r="H150" s="48">
        <f>HYPERLINK("https://www.nite.go.jp/nbrc/catalogue/NBRCMediumDetailServlet?NO=001509",1509)</f>
        <v>1509</v>
      </c>
      <c r="I150" s="49" t="s">
        <v>958</v>
      </c>
      <c r="J150" s="71" t="str">
        <f t="shared" si="15"/>
        <v>コチラにお問い合わせ下さい。</v>
      </c>
    </row>
    <row r="151" spans="1:10" x14ac:dyDescent="0.45">
      <c r="A151" s="70" t="s">
        <v>1177</v>
      </c>
      <c r="B151" s="46" t="s">
        <v>1072</v>
      </c>
      <c r="C151" s="46" t="s">
        <v>988</v>
      </c>
      <c r="D151" s="47" t="s">
        <v>965</v>
      </c>
      <c r="E151" s="47" t="s">
        <v>807</v>
      </c>
      <c r="F151" s="47" t="s">
        <v>764</v>
      </c>
      <c r="G151" s="48">
        <f>HYPERLINK("https://www.nite.go.jp/nbrc/catalogue/NBRCMediumDetailServlet?NO=001545",1545)</f>
        <v>1545</v>
      </c>
      <c r="H151" s="48">
        <f>HYPERLINK("https://www.nite.go.jp/nbrc/catalogue/NBRCMediumDetailServlet?NO=001509",1509)</f>
        <v>1509</v>
      </c>
      <c r="I151" s="49" t="s">
        <v>958</v>
      </c>
      <c r="J151" s="71" t="str">
        <f t="shared" si="15"/>
        <v>コチラにお問い合わせ下さい。</v>
      </c>
    </row>
    <row r="152" spans="1:10" x14ac:dyDescent="0.45">
      <c r="A152" s="70" t="s">
        <v>1201</v>
      </c>
      <c r="B152" s="46" t="s">
        <v>1073</v>
      </c>
      <c r="C152" s="46" t="s">
        <v>988</v>
      </c>
      <c r="D152" s="47" t="s">
        <v>965</v>
      </c>
      <c r="E152" s="47" t="s">
        <v>794</v>
      </c>
      <c r="F152" s="47" t="s">
        <v>897</v>
      </c>
      <c r="G152" s="48">
        <f>HYPERLINK("https://www.nite.go.jp/nbrc/catalogue/NBRCMediumDetailServlet?NO=001545",1545)</f>
        <v>1545</v>
      </c>
      <c r="H152" s="48">
        <f>HYPERLINK("https://www.nite.go.jp/nbrc/catalogue/NBRCMediumDetailServlet?NO=001509",1509)</f>
        <v>1509</v>
      </c>
      <c r="I152" s="49" t="s">
        <v>958</v>
      </c>
      <c r="J152" s="71" t="str">
        <f t="shared" si="15"/>
        <v>コチラにお問い合わせ下さい。</v>
      </c>
    </row>
    <row r="153" spans="1:10" x14ac:dyDescent="0.45">
      <c r="A153" s="70" t="s">
        <v>1201</v>
      </c>
      <c r="B153" s="46" t="s">
        <v>1074</v>
      </c>
      <c r="C153" s="46" t="s">
        <v>988</v>
      </c>
      <c r="D153" s="47" t="s">
        <v>965</v>
      </c>
      <c r="E153" s="47" t="s">
        <v>794</v>
      </c>
      <c r="F153" s="47" t="s">
        <v>897</v>
      </c>
      <c r="G153" s="48">
        <f>HYPERLINK("https://www.nite.go.jp/nbrc/catalogue/NBRCMediumDetailServlet?NO=000253",253)</f>
        <v>253</v>
      </c>
      <c r="H153" s="48">
        <f>HYPERLINK("https://www.nite.go.jp/nbrc/catalogue/NBRCMediumDetailServlet?NO=001572",1572)</f>
        <v>1572</v>
      </c>
      <c r="I153" s="49" t="s">
        <v>958</v>
      </c>
      <c r="J153" s="71" t="str">
        <f t="shared" si="15"/>
        <v>コチラにお問い合わせ下さい。</v>
      </c>
    </row>
    <row r="154" spans="1:10" x14ac:dyDescent="0.45">
      <c r="A154" s="70" t="s">
        <v>1201</v>
      </c>
      <c r="B154" s="46" t="s">
        <v>1075</v>
      </c>
      <c r="C154" s="46" t="s">
        <v>988</v>
      </c>
      <c r="D154" s="47" t="s">
        <v>965</v>
      </c>
      <c r="E154" s="47" t="s">
        <v>794</v>
      </c>
      <c r="F154" s="47" t="s">
        <v>897</v>
      </c>
      <c r="G154" s="48">
        <f>HYPERLINK("https://www.nite.go.jp/nbrc/catalogue/NBRCMediumDetailServlet?NO=001509",1509)</f>
        <v>1509</v>
      </c>
      <c r="H154" s="48">
        <f>HYPERLINK("https://www.nite.go.jp/nbrc/catalogue/NBRCMediumDetailServlet?NO=001545",1545)</f>
        <v>1545</v>
      </c>
      <c r="I154" s="49" t="s">
        <v>958</v>
      </c>
      <c r="J154" s="71" t="str">
        <f t="shared" si="15"/>
        <v>コチラにお問い合わせ下さい。</v>
      </c>
    </row>
    <row r="155" spans="1:10" x14ac:dyDescent="0.45">
      <c r="A155" s="70" t="s">
        <v>1201</v>
      </c>
      <c r="B155" s="46" t="s">
        <v>1076</v>
      </c>
      <c r="C155" s="46" t="s">
        <v>989</v>
      </c>
      <c r="D155" s="47" t="s">
        <v>965</v>
      </c>
      <c r="E155" s="47" t="s">
        <v>862</v>
      </c>
      <c r="F155" s="47" t="s">
        <v>799</v>
      </c>
      <c r="G155" s="48">
        <f>HYPERLINK("https://www.nite.go.jp/nbrc/catalogue/NBRCMediumDetailServlet?NO=001509",1509)</f>
        <v>1509</v>
      </c>
      <c r="H155" s="48">
        <f>HYPERLINK("https://www.nite.go.jp/nbrc/catalogue/NBRCMediumDetailServlet?NO=001545",1545)</f>
        <v>1545</v>
      </c>
      <c r="I155" s="49" t="s">
        <v>958</v>
      </c>
      <c r="J155" s="71" t="str">
        <f t="shared" si="15"/>
        <v>コチラにお問い合わせ下さい。</v>
      </c>
    </row>
    <row r="156" spans="1:10" x14ac:dyDescent="0.45">
      <c r="A156" s="70" t="s">
        <v>1201</v>
      </c>
      <c r="B156" s="46" t="s">
        <v>1077</v>
      </c>
      <c r="C156" s="46" t="s">
        <v>989</v>
      </c>
      <c r="D156" s="47" t="s">
        <v>965</v>
      </c>
      <c r="E156" s="47" t="s">
        <v>862</v>
      </c>
      <c r="F156" s="47" t="s">
        <v>799</v>
      </c>
      <c r="G156" s="48">
        <f>HYPERLINK("https://www.nite.go.jp/nbrc/catalogue/NBRCMediumDetailServlet?NO=001509",1509)</f>
        <v>1509</v>
      </c>
      <c r="H156" s="48">
        <f>HYPERLINK("https://www.nite.go.jp/nbrc/catalogue/NBRCMediumDetailServlet?NO=001545",1545)</f>
        <v>1545</v>
      </c>
      <c r="I156" s="49" t="s">
        <v>958</v>
      </c>
      <c r="J156" s="71" t="str">
        <f t="shared" si="15"/>
        <v>コチラにお問い合わせ下さい。</v>
      </c>
    </row>
    <row r="157" spans="1:10" x14ac:dyDescent="0.45">
      <c r="A157" s="70" t="s">
        <v>1201</v>
      </c>
      <c r="B157" s="46" t="s">
        <v>1078</v>
      </c>
      <c r="C157" s="46" t="s">
        <v>988</v>
      </c>
      <c r="D157" s="47" t="s">
        <v>965</v>
      </c>
      <c r="E157" s="47" t="s">
        <v>862</v>
      </c>
      <c r="F157" s="47" t="s">
        <v>799</v>
      </c>
      <c r="G157" s="48">
        <f>HYPERLINK("https://www.nite.go.jp/nbrc/catalogue/NBRCMediumDetailServlet?NO=001545",1545)</f>
        <v>1545</v>
      </c>
      <c r="H157" s="48">
        <f>HYPERLINK("https://www.nite.go.jp/nbrc/catalogue/NBRCMediumDetailServlet?NO=001509",1509)</f>
        <v>1509</v>
      </c>
      <c r="I157" s="49" t="s">
        <v>958</v>
      </c>
      <c r="J157" s="71" t="str">
        <f t="shared" si="15"/>
        <v>コチラにお問い合わせ下さい。</v>
      </c>
    </row>
    <row r="158" spans="1:10" x14ac:dyDescent="0.45">
      <c r="A158" s="70" t="s">
        <v>1201</v>
      </c>
      <c r="B158" s="46" t="s">
        <v>1079</v>
      </c>
      <c r="C158" s="46" t="s">
        <v>988</v>
      </c>
      <c r="D158" s="47" t="s">
        <v>965</v>
      </c>
      <c r="E158" s="47" t="s">
        <v>794</v>
      </c>
      <c r="F158" s="47" t="s">
        <v>897</v>
      </c>
      <c r="G158" s="48">
        <f>HYPERLINK("https://www.nite.go.jp/nbrc/catalogue/NBRCMediumDetailServlet?NO=001545",1545)</f>
        <v>1545</v>
      </c>
      <c r="H158" s="48">
        <f>HYPERLINK("https://www.nite.go.jp/nbrc/catalogue/NBRCMediumDetailServlet?NO=001509",1509)</f>
        <v>1509</v>
      </c>
      <c r="I158" s="49" t="s">
        <v>958</v>
      </c>
      <c r="J158" s="71" t="str">
        <f t="shared" si="15"/>
        <v>コチラにお問い合わせ下さい。</v>
      </c>
    </row>
    <row r="159" spans="1:10" x14ac:dyDescent="0.45">
      <c r="A159" s="70" t="s">
        <v>1201</v>
      </c>
      <c r="B159" s="46" t="s">
        <v>1080</v>
      </c>
      <c r="C159" s="46" t="s">
        <v>988</v>
      </c>
      <c r="D159" s="47" t="s">
        <v>965</v>
      </c>
      <c r="E159" s="47" t="s">
        <v>794</v>
      </c>
      <c r="F159" s="47" t="s">
        <v>897</v>
      </c>
      <c r="G159" s="48">
        <f>HYPERLINK("https://www.nite.go.jp/nbrc/catalogue/NBRCMediumDetailServlet?NO=000253",253)</f>
        <v>253</v>
      </c>
      <c r="H159" s="48">
        <f>HYPERLINK("https://www.nite.go.jp/nbrc/catalogue/NBRCMediumDetailServlet?NO=001572",1572)</f>
        <v>1572</v>
      </c>
      <c r="I159" s="49" t="s">
        <v>958</v>
      </c>
      <c r="J159" s="71" t="str">
        <f t="shared" si="15"/>
        <v>コチラにお問い合わせ下さい。</v>
      </c>
    </row>
    <row r="160" spans="1:10" x14ac:dyDescent="0.45">
      <c r="A160" s="70" t="s">
        <v>1201</v>
      </c>
      <c r="B160" s="46" t="s">
        <v>1081</v>
      </c>
      <c r="C160" s="46" t="s">
        <v>988</v>
      </c>
      <c r="D160" s="47" t="s">
        <v>965</v>
      </c>
      <c r="E160" s="47" t="s">
        <v>794</v>
      </c>
      <c r="F160" s="47" t="s">
        <v>897</v>
      </c>
      <c r="G160" s="48">
        <f>HYPERLINK("https://www.nite.go.jp/nbrc/catalogue/NBRCMediumDetailServlet?NO=001509",1509)</f>
        <v>1509</v>
      </c>
      <c r="H160" s="48">
        <f>HYPERLINK("https://www.nite.go.jp/nbrc/catalogue/NBRCMediumDetailServlet?NO=001545",1545)</f>
        <v>1545</v>
      </c>
      <c r="I160" s="49" t="s">
        <v>958</v>
      </c>
      <c r="J160" s="71" t="str">
        <f t="shared" si="15"/>
        <v>コチラにお問い合わせ下さい。</v>
      </c>
    </row>
    <row r="161" spans="1:10" x14ac:dyDescent="0.45">
      <c r="A161" s="70" t="s">
        <v>1201</v>
      </c>
      <c r="B161" s="46" t="s">
        <v>1082</v>
      </c>
      <c r="C161" s="46" t="s">
        <v>989</v>
      </c>
      <c r="D161" s="47" t="s">
        <v>965</v>
      </c>
      <c r="E161" s="47" t="s">
        <v>862</v>
      </c>
      <c r="F161" s="47" t="s">
        <v>799</v>
      </c>
      <c r="G161" s="48">
        <f>HYPERLINK("https://www.nite.go.jp/nbrc/catalogue/NBRCMediumDetailServlet?NO=001573",1573)</f>
        <v>1573</v>
      </c>
      <c r="H161" s="48"/>
      <c r="I161" s="49" t="s">
        <v>958</v>
      </c>
      <c r="J161" s="71" t="str">
        <f t="shared" si="15"/>
        <v>コチラにお問い合わせ下さい。</v>
      </c>
    </row>
    <row r="162" spans="1:10" x14ac:dyDescent="0.45">
      <c r="A162" s="70" t="s">
        <v>1183</v>
      </c>
      <c r="B162" s="46" t="s">
        <v>1083</v>
      </c>
      <c r="C162" s="46" t="s">
        <v>988</v>
      </c>
      <c r="D162" s="47" t="s">
        <v>783</v>
      </c>
      <c r="E162" s="47" t="s">
        <v>826</v>
      </c>
      <c r="F162" s="47" t="s">
        <v>764</v>
      </c>
      <c r="G162" s="48">
        <f>HYPERLINK("https://www.nite.go.jp/nbrc/catalogue/NBRCMediumDetailServlet?NO=001545",1545)</f>
        <v>1545</v>
      </c>
      <c r="H162" s="48">
        <f>HYPERLINK("https://www.nite.go.jp/nbrc/catalogue/NBRCMediumDetailServlet?NO=001509",1509)</f>
        <v>1509</v>
      </c>
      <c r="I162" s="49" t="s">
        <v>958</v>
      </c>
      <c r="J162" s="71" t="str">
        <f t="shared" si="15"/>
        <v>コチラにお問い合わせ下さい。</v>
      </c>
    </row>
    <row r="163" spans="1:10" x14ac:dyDescent="0.45">
      <c r="A163" s="70" t="s">
        <v>1183</v>
      </c>
      <c r="B163" s="46" t="s">
        <v>1084</v>
      </c>
      <c r="C163" s="46" t="s">
        <v>988</v>
      </c>
      <c r="D163" s="47" t="s">
        <v>783</v>
      </c>
      <c r="E163" s="47" t="s">
        <v>820</v>
      </c>
      <c r="F163" s="47" t="s">
        <v>764</v>
      </c>
      <c r="G163" s="48">
        <f>HYPERLINK("https://www.nite.go.jp/nbrc/catalogue/NBRCMediumDetailServlet?NO=000253",253)</f>
        <v>253</v>
      </c>
      <c r="H163" s="48">
        <f>HYPERLINK("https://www.nite.go.jp/nbrc/catalogue/NBRCMediumDetailServlet?NO=001572",1572)</f>
        <v>1572</v>
      </c>
      <c r="I163" s="49" t="s">
        <v>958</v>
      </c>
      <c r="J163" s="71" t="str">
        <f t="shared" si="15"/>
        <v>コチラにお問い合わせ下さい。</v>
      </c>
    </row>
    <row r="164" spans="1:10" x14ac:dyDescent="0.45">
      <c r="A164" s="70" t="s">
        <v>1183</v>
      </c>
      <c r="B164" s="46" t="s">
        <v>1085</v>
      </c>
      <c r="C164" s="46" t="s">
        <v>988</v>
      </c>
      <c r="D164" s="47" t="s">
        <v>783</v>
      </c>
      <c r="E164" s="47" t="s">
        <v>820</v>
      </c>
      <c r="F164" s="47" t="s">
        <v>764</v>
      </c>
      <c r="G164" s="48">
        <f>HYPERLINK("https://www.nite.go.jp/nbrc/catalogue/NBRCMediumDetailServlet?NO=000253",253)</f>
        <v>253</v>
      </c>
      <c r="H164" s="48">
        <f>HYPERLINK("https://www.nite.go.jp/nbrc/catalogue/NBRCMediumDetailServlet?NO=001572",1572)</f>
        <v>1572</v>
      </c>
      <c r="I164" s="49" t="s">
        <v>958</v>
      </c>
      <c r="J164" s="71" t="str">
        <f t="shared" si="15"/>
        <v>コチラにお問い合わせ下さい。</v>
      </c>
    </row>
    <row r="165" spans="1:10" x14ac:dyDescent="0.45">
      <c r="A165" s="70" t="s">
        <v>1183</v>
      </c>
      <c r="B165" s="46" t="s">
        <v>1086</v>
      </c>
      <c r="C165" s="46" t="s">
        <v>988</v>
      </c>
      <c r="D165" s="47" t="s">
        <v>783</v>
      </c>
      <c r="E165" s="47" t="s">
        <v>809</v>
      </c>
      <c r="F165" s="47" t="s">
        <v>764</v>
      </c>
      <c r="G165" s="48">
        <f>HYPERLINK("https://www.nite.go.jp/nbrc/catalogue/NBRCMediumDetailServlet?NO=001545",1545)</f>
        <v>1545</v>
      </c>
      <c r="H165" s="48">
        <f>HYPERLINK("https://www.nite.go.jp/nbrc/catalogue/NBRCMediumDetailServlet?NO=001509",1509)</f>
        <v>1509</v>
      </c>
      <c r="I165" s="49" t="s">
        <v>958</v>
      </c>
      <c r="J165" s="71" t="str">
        <f t="shared" si="15"/>
        <v>コチラにお問い合わせ下さい。</v>
      </c>
    </row>
    <row r="166" spans="1:10" x14ac:dyDescent="0.45">
      <c r="A166" s="70" t="s">
        <v>1183</v>
      </c>
      <c r="B166" s="46" t="s">
        <v>1087</v>
      </c>
      <c r="C166" s="46" t="s">
        <v>988</v>
      </c>
      <c r="D166" s="47" t="s">
        <v>783</v>
      </c>
      <c r="E166" s="47" t="s">
        <v>820</v>
      </c>
      <c r="F166" s="47" t="s">
        <v>764</v>
      </c>
      <c r="G166" s="48">
        <f>HYPERLINK("https://www.nite.go.jp/nbrc/catalogue/NBRCMediumDetailServlet?NO=001545",1545)</f>
        <v>1545</v>
      </c>
      <c r="H166" s="48">
        <f>HYPERLINK("https://www.nite.go.jp/nbrc/catalogue/NBRCMediumDetailServlet?NO=001509",1509)</f>
        <v>1509</v>
      </c>
      <c r="I166" s="49" t="s">
        <v>958</v>
      </c>
      <c r="J166" s="71" t="str">
        <f t="shared" si="15"/>
        <v>コチラにお問い合わせ下さい。</v>
      </c>
    </row>
    <row r="167" spans="1:10" x14ac:dyDescent="0.45">
      <c r="A167" s="70" t="s">
        <v>1184</v>
      </c>
      <c r="B167" s="46" t="s">
        <v>1088</v>
      </c>
      <c r="C167" s="46" t="s">
        <v>988</v>
      </c>
      <c r="D167" s="47" t="s">
        <v>783</v>
      </c>
      <c r="E167" s="47" t="s">
        <v>820</v>
      </c>
      <c r="F167" s="47" t="s">
        <v>764</v>
      </c>
      <c r="G167" s="48">
        <f>HYPERLINK("https://www.nite.go.jp/nbrc/catalogue/NBRCMediumDetailServlet?NO=001545",1545)</f>
        <v>1545</v>
      </c>
      <c r="H167" s="48">
        <f>HYPERLINK("https://www.nite.go.jp/nbrc/catalogue/NBRCMediumDetailServlet?NO=001509",1509)</f>
        <v>1509</v>
      </c>
      <c r="I167" s="49" t="s">
        <v>958</v>
      </c>
      <c r="J167" s="71" t="str">
        <f t="shared" si="15"/>
        <v>コチラにお問い合わせ下さい。</v>
      </c>
    </row>
    <row r="168" spans="1:10" x14ac:dyDescent="0.45">
      <c r="A168" s="70" t="s">
        <v>1202</v>
      </c>
      <c r="B168" s="46" t="s">
        <v>1089</v>
      </c>
      <c r="C168" s="46" t="s">
        <v>988</v>
      </c>
      <c r="D168" s="47" t="s">
        <v>783</v>
      </c>
      <c r="E168" s="47" t="s">
        <v>794</v>
      </c>
      <c r="F168" s="47" t="s">
        <v>897</v>
      </c>
      <c r="G168" s="48">
        <f>HYPERLINK("https://www.nite.go.jp/nbrc/catalogue/NBRCMediumDetailServlet?NO=000253",253)</f>
        <v>253</v>
      </c>
      <c r="H168" s="48">
        <f>HYPERLINK("https://www.nite.go.jp/nbrc/catalogue/NBRCMediumDetailServlet?NO=001572",1572)</f>
        <v>1572</v>
      </c>
      <c r="I168" s="49" t="s">
        <v>958</v>
      </c>
      <c r="J168" s="71" t="str">
        <f t="shared" si="15"/>
        <v>コチラにお問い合わせ下さい。</v>
      </c>
    </row>
    <row r="169" spans="1:10" x14ac:dyDescent="0.45">
      <c r="A169" s="70" t="s">
        <v>1203</v>
      </c>
      <c r="B169" s="46" t="s">
        <v>1090</v>
      </c>
      <c r="C169" s="46" t="s">
        <v>988</v>
      </c>
      <c r="D169" s="47" t="s">
        <v>783</v>
      </c>
      <c r="E169" s="47" t="s">
        <v>794</v>
      </c>
      <c r="F169" s="47" t="s">
        <v>897</v>
      </c>
      <c r="G169" s="48">
        <f>HYPERLINK("https://www.nite.go.jp/nbrc/catalogue/NBRCMediumDetailServlet?NO=001572",1572)</f>
        <v>1572</v>
      </c>
      <c r="H169" s="48"/>
      <c r="I169" s="49" t="s">
        <v>958</v>
      </c>
      <c r="J169" s="71" t="str">
        <f t="shared" si="15"/>
        <v>コチラにお問い合わせ下さい。</v>
      </c>
    </row>
    <row r="170" spans="1:10" x14ac:dyDescent="0.45">
      <c r="A170" s="70" t="s">
        <v>1203</v>
      </c>
      <c r="B170" s="46" t="s">
        <v>1091</v>
      </c>
      <c r="C170" s="46" t="s">
        <v>988</v>
      </c>
      <c r="D170" s="47" t="s">
        <v>783</v>
      </c>
      <c r="E170" s="47" t="s">
        <v>794</v>
      </c>
      <c r="F170" s="47" t="s">
        <v>897</v>
      </c>
      <c r="G170" s="48">
        <f>HYPERLINK("https://www.nite.go.jp/nbrc/catalogue/NBRCMediumDetailServlet?NO=001573",1573)</f>
        <v>1573</v>
      </c>
      <c r="H170" s="48"/>
      <c r="I170" s="49" t="s">
        <v>958</v>
      </c>
      <c r="J170" s="71" t="str">
        <f t="shared" si="15"/>
        <v>コチラにお問い合わせ下さい。</v>
      </c>
    </row>
    <row r="171" spans="1:10" x14ac:dyDescent="0.45">
      <c r="A171" s="70" t="s">
        <v>1195</v>
      </c>
      <c r="B171" s="46" t="s">
        <v>1092</v>
      </c>
      <c r="C171" s="46" t="s">
        <v>989</v>
      </c>
      <c r="D171" s="47" t="s">
        <v>783</v>
      </c>
      <c r="E171" s="47" t="s">
        <v>807</v>
      </c>
      <c r="F171" s="47" t="s">
        <v>764</v>
      </c>
      <c r="G171" s="48">
        <f>HYPERLINK("https://www.nite.go.jp/nbrc/catalogue/NBRCMediumDetailServlet?NO=001545",1545)</f>
        <v>1545</v>
      </c>
      <c r="H171" s="48">
        <f>HYPERLINK("https://www.nite.go.jp/nbrc/catalogue/NBRCMediumDetailServlet?NO=001509",1509)</f>
        <v>1509</v>
      </c>
      <c r="I171" s="49" t="s">
        <v>958</v>
      </c>
      <c r="J171" s="71" t="str">
        <f t="shared" si="15"/>
        <v>コチラにお問い合わせ下さい。</v>
      </c>
    </row>
    <row r="172" spans="1:10" x14ac:dyDescent="0.45">
      <c r="A172" s="70" t="s">
        <v>1200</v>
      </c>
      <c r="B172" s="46" t="s">
        <v>1093</v>
      </c>
      <c r="C172" s="46" t="s">
        <v>988</v>
      </c>
      <c r="D172" s="47" t="s">
        <v>990</v>
      </c>
      <c r="E172" s="47" t="s">
        <v>794</v>
      </c>
      <c r="F172" s="47" t="s">
        <v>897</v>
      </c>
      <c r="G172" s="48">
        <f>HYPERLINK("https://www.nite.go.jp/nbrc/catalogue/NBRCMediumDetailServlet?NO=000253",253)</f>
        <v>253</v>
      </c>
      <c r="H172" s="48">
        <f>HYPERLINK("https://www.nite.go.jp/nbrc/catalogue/NBRCMediumDetailServlet?NO=001572",1572)</f>
        <v>1572</v>
      </c>
      <c r="I172" s="49" t="s">
        <v>958</v>
      </c>
      <c r="J172" s="71" t="str">
        <f t="shared" si="15"/>
        <v>コチラにお問い合わせ下さい。</v>
      </c>
    </row>
    <row r="173" spans="1:10" x14ac:dyDescent="0.45">
      <c r="A173" s="70" t="s">
        <v>1200</v>
      </c>
      <c r="B173" s="46" t="s">
        <v>1094</v>
      </c>
      <c r="C173" s="46" t="s">
        <v>988</v>
      </c>
      <c r="D173" s="47" t="s">
        <v>990</v>
      </c>
      <c r="E173" s="47" t="s">
        <v>862</v>
      </c>
      <c r="F173" s="47" t="s">
        <v>799</v>
      </c>
      <c r="G173" s="48">
        <f>HYPERLINK("https://www.nite.go.jp/nbrc/catalogue/NBRCMediumDetailServlet?NO=001545",1545)</f>
        <v>1545</v>
      </c>
      <c r="H173" s="48">
        <f>HYPERLINK("https://www.nite.go.jp/nbrc/catalogue/NBRCMediumDetailServlet?NO=001509",1509)</f>
        <v>1509</v>
      </c>
      <c r="I173" s="49" t="s">
        <v>958</v>
      </c>
      <c r="J173" s="71" t="str">
        <f t="shared" si="15"/>
        <v>コチラにお問い合わせ下さい。</v>
      </c>
    </row>
    <row r="174" spans="1:10" x14ac:dyDescent="0.45">
      <c r="A174" s="70" t="s">
        <v>1200</v>
      </c>
      <c r="B174" s="46" t="s">
        <v>1095</v>
      </c>
      <c r="C174" s="46" t="s">
        <v>988</v>
      </c>
      <c r="D174" s="47" t="s">
        <v>990</v>
      </c>
      <c r="E174" s="47" t="s">
        <v>794</v>
      </c>
      <c r="F174" s="47" t="s">
        <v>897</v>
      </c>
      <c r="G174" s="48">
        <f>HYPERLINK("https://www.nite.go.jp/nbrc/catalogue/NBRCMediumDetailServlet?NO=000253",253)</f>
        <v>253</v>
      </c>
      <c r="H174" s="48">
        <f>HYPERLINK("https://www.nite.go.jp/nbrc/catalogue/NBRCMediumDetailServlet?NO=001572",1572)</f>
        <v>1572</v>
      </c>
      <c r="I174" s="50" t="s">
        <v>780</v>
      </c>
      <c r="J174" s="71" t="str">
        <f t="shared" si="15"/>
        <v>コチラにお問い合わせ下さい。</v>
      </c>
    </row>
    <row r="175" spans="1:10" x14ac:dyDescent="0.45">
      <c r="A175" s="70" t="s">
        <v>1204</v>
      </c>
      <c r="B175" s="46" t="s">
        <v>1096</v>
      </c>
      <c r="C175" s="46" t="s">
        <v>989</v>
      </c>
      <c r="D175" s="47" t="s">
        <v>990</v>
      </c>
      <c r="E175" s="47" t="s">
        <v>794</v>
      </c>
      <c r="F175" s="47" t="s">
        <v>897</v>
      </c>
      <c r="G175" s="48">
        <f>HYPERLINK("https://www.nite.go.jp/nbrc/catalogue/NBRCMediumDetailServlet?NO=001545",1545)</f>
        <v>1545</v>
      </c>
      <c r="H175" s="48">
        <f>HYPERLINK("https://www.nite.go.jp/nbrc/catalogue/NBRCMediumDetailServlet?NO=001509",1509)</f>
        <v>1509</v>
      </c>
      <c r="I175" s="49" t="s">
        <v>958</v>
      </c>
      <c r="J175" s="71" t="str">
        <f t="shared" si="15"/>
        <v>コチラにお問い合わせ下さい。</v>
      </c>
    </row>
    <row r="176" spans="1:10" x14ac:dyDescent="0.45">
      <c r="A176" s="70" t="s">
        <v>1204</v>
      </c>
      <c r="B176" s="46" t="s">
        <v>1097</v>
      </c>
      <c r="C176" s="46" t="s">
        <v>988</v>
      </c>
      <c r="D176" s="47" t="s">
        <v>990</v>
      </c>
      <c r="E176" s="47" t="s">
        <v>794</v>
      </c>
      <c r="F176" s="47" t="s">
        <v>897</v>
      </c>
      <c r="G176" s="48">
        <f>HYPERLINK("https://www.nite.go.jp/nbrc/catalogue/NBRCMediumDetailServlet?NO=001545",1545)</f>
        <v>1545</v>
      </c>
      <c r="H176" s="48">
        <f>HYPERLINK("https://www.nite.go.jp/nbrc/catalogue/NBRCMediumDetailServlet?NO=001509",1509)</f>
        <v>1509</v>
      </c>
      <c r="I176" s="49" t="s">
        <v>958</v>
      </c>
      <c r="J176" s="71" t="str">
        <f t="shared" si="15"/>
        <v>コチラにお問い合わせ下さい。</v>
      </c>
    </row>
    <row r="177" spans="1:10" x14ac:dyDescent="0.45">
      <c r="A177" s="70" t="s">
        <v>1200</v>
      </c>
      <c r="B177" s="46" t="s">
        <v>1098</v>
      </c>
      <c r="C177" s="46" t="s">
        <v>989</v>
      </c>
      <c r="D177" s="47" t="s">
        <v>990</v>
      </c>
      <c r="E177" s="47" t="s">
        <v>794</v>
      </c>
      <c r="F177" s="47" t="s">
        <v>897</v>
      </c>
      <c r="G177" s="48">
        <f>HYPERLINK("https://www.nite.go.jp/nbrc/catalogue/NBRCMediumDetailServlet?NO=001545",1545)</f>
        <v>1545</v>
      </c>
      <c r="H177" s="48">
        <f>HYPERLINK("https://www.nite.go.jp/nbrc/catalogue/NBRCMediumDetailServlet?NO=001509",1509)</f>
        <v>1509</v>
      </c>
      <c r="I177" s="49" t="s">
        <v>958</v>
      </c>
      <c r="J177" s="71" t="str">
        <f t="shared" si="15"/>
        <v>コチラにお問い合わせ下さい。</v>
      </c>
    </row>
    <row r="178" spans="1:10" x14ac:dyDescent="0.45">
      <c r="A178" s="70" t="s">
        <v>1205</v>
      </c>
      <c r="B178" s="46" t="s">
        <v>1099</v>
      </c>
      <c r="C178" s="46" t="s">
        <v>988</v>
      </c>
      <c r="D178" s="47" t="s">
        <v>783</v>
      </c>
      <c r="E178" s="47" t="s">
        <v>794</v>
      </c>
      <c r="F178" s="47" t="s">
        <v>897</v>
      </c>
      <c r="G178" s="48">
        <f>HYPERLINK("https://www.nite.go.jp/nbrc/catalogue/NBRCMediumDetailServlet?NO=001573",1573)</f>
        <v>1573</v>
      </c>
      <c r="H178" s="48"/>
      <c r="I178" s="49" t="s">
        <v>958</v>
      </c>
      <c r="J178" s="71" t="str">
        <f t="shared" si="15"/>
        <v>コチラにお問い合わせ下さい。</v>
      </c>
    </row>
    <row r="179" spans="1:10" x14ac:dyDescent="0.45">
      <c r="A179" s="70" t="s">
        <v>1205</v>
      </c>
      <c r="B179" s="46" t="s">
        <v>1100</v>
      </c>
      <c r="C179" s="46" t="s">
        <v>989</v>
      </c>
      <c r="D179" s="47" t="s">
        <v>783</v>
      </c>
      <c r="E179" s="47" t="s">
        <v>794</v>
      </c>
      <c r="F179" s="47" t="s">
        <v>897</v>
      </c>
      <c r="G179" s="48">
        <f>HYPERLINK("https://www.nite.go.jp/nbrc/catalogue/NBRCMediumDetailServlet?NO=001572",1572)</f>
        <v>1572</v>
      </c>
      <c r="H179" s="48"/>
      <c r="I179" s="49" t="s">
        <v>958</v>
      </c>
      <c r="J179" s="71" t="str">
        <f t="shared" si="15"/>
        <v>コチラにお問い合わせ下さい。</v>
      </c>
    </row>
    <row r="180" spans="1:10" x14ac:dyDescent="0.45">
      <c r="A180" s="70" t="s">
        <v>1180</v>
      </c>
      <c r="B180" s="46" t="s">
        <v>1101</v>
      </c>
      <c r="C180" s="46" t="s">
        <v>988</v>
      </c>
      <c r="D180" s="47" t="s">
        <v>783</v>
      </c>
      <c r="E180" s="47" t="s">
        <v>809</v>
      </c>
      <c r="F180" s="47" t="s">
        <v>764</v>
      </c>
      <c r="G180" s="48">
        <f>HYPERLINK("https://www.nite.go.jp/nbrc/catalogue/NBRCMediumDetailServlet?NO=001545",1545)</f>
        <v>1545</v>
      </c>
      <c r="H180" s="48">
        <f>HYPERLINK("https://www.nite.go.jp/nbrc/catalogue/NBRCMediumDetailServlet?NO=001509",1509)</f>
        <v>1509</v>
      </c>
      <c r="I180" s="49" t="s">
        <v>958</v>
      </c>
      <c r="J180" s="71" t="str">
        <f t="shared" si="15"/>
        <v>コチラにお問い合わせ下さい。</v>
      </c>
    </row>
    <row r="181" spans="1:10" x14ac:dyDescent="0.45">
      <c r="A181" s="70" t="s">
        <v>1201</v>
      </c>
      <c r="B181" s="46" t="s">
        <v>1102</v>
      </c>
      <c r="C181" s="46" t="s">
        <v>989</v>
      </c>
      <c r="D181" s="47" t="s">
        <v>965</v>
      </c>
      <c r="E181" s="47" t="s">
        <v>794</v>
      </c>
      <c r="F181" s="47" t="s">
        <v>897</v>
      </c>
      <c r="G181" s="48">
        <f>HYPERLINK("https://www.nite.go.jp/nbrc/catalogue/NBRCMediumDetailServlet?NO=001509",1509)</f>
        <v>1509</v>
      </c>
      <c r="H181" s="48">
        <f>HYPERLINK("https://www.nite.go.jp/nbrc/catalogue/NBRCMediumDetailServlet?NO=001545",1545)</f>
        <v>1545</v>
      </c>
      <c r="I181" s="49" t="s">
        <v>958</v>
      </c>
      <c r="J181" s="71" t="str">
        <f t="shared" si="15"/>
        <v>コチラにお問い合わせ下さい。</v>
      </c>
    </row>
    <row r="182" spans="1:10" x14ac:dyDescent="0.45">
      <c r="A182" s="70" t="s">
        <v>1201</v>
      </c>
      <c r="B182" s="46" t="s">
        <v>1103</v>
      </c>
      <c r="C182" s="46" t="s">
        <v>989</v>
      </c>
      <c r="D182" s="47" t="s">
        <v>965</v>
      </c>
      <c r="E182" s="47" t="s">
        <v>862</v>
      </c>
      <c r="F182" s="47" t="s">
        <v>799</v>
      </c>
      <c r="G182" s="48">
        <f>HYPERLINK("https://www.nite.go.jp/nbrc/catalogue/NBRCMediumDetailServlet?NO=001573",1573)</f>
        <v>1573</v>
      </c>
      <c r="H182" s="48"/>
      <c r="I182" s="49" t="s">
        <v>958</v>
      </c>
      <c r="J182" s="71" t="str">
        <f t="shared" si="15"/>
        <v>コチラにお問い合わせ下さい。</v>
      </c>
    </row>
    <row r="183" spans="1:10" x14ac:dyDescent="0.45">
      <c r="A183" s="70" t="s">
        <v>1201</v>
      </c>
      <c r="B183" s="46" t="s">
        <v>1104</v>
      </c>
      <c r="C183" s="46" t="s">
        <v>989</v>
      </c>
      <c r="D183" s="47" t="s">
        <v>965</v>
      </c>
      <c r="E183" s="47" t="s">
        <v>862</v>
      </c>
      <c r="F183" s="47" t="s">
        <v>799</v>
      </c>
      <c r="G183" s="48">
        <f>HYPERLINK("https://www.nite.go.jp/nbrc/catalogue/NBRCMediumDetailServlet?NO=000253",253)</f>
        <v>253</v>
      </c>
      <c r="H183" s="48">
        <f>HYPERLINK("https://www.nite.go.jp/nbrc/catalogue/NBRCMediumDetailServlet?NO=001572",1572)</f>
        <v>1572</v>
      </c>
      <c r="I183" s="49" t="s">
        <v>958</v>
      </c>
      <c r="J183" s="71" t="str">
        <f t="shared" si="15"/>
        <v>コチラにお問い合わせ下さい。</v>
      </c>
    </row>
    <row r="184" spans="1:10" x14ac:dyDescent="0.45">
      <c r="A184" s="70" t="s">
        <v>1196</v>
      </c>
      <c r="B184" s="46" t="s">
        <v>1105</v>
      </c>
      <c r="C184" s="46" t="s">
        <v>989</v>
      </c>
      <c r="D184" s="47" t="s">
        <v>783</v>
      </c>
      <c r="E184" s="47" t="s">
        <v>794</v>
      </c>
      <c r="F184" s="47" t="s">
        <v>897</v>
      </c>
      <c r="G184" s="48">
        <f>HYPERLINK("https://www.nite.go.jp/nbrc/catalogue/NBRCMediumDetailServlet?NO=001509",1509)</f>
        <v>1509</v>
      </c>
      <c r="H184" s="48">
        <f>HYPERLINK("https://www.nite.go.jp/nbrc/catalogue/NBRCMediumDetailServlet?NO=001545",1545)</f>
        <v>1545</v>
      </c>
      <c r="I184" s="50" t="s">
        <v>780</v>
      </c>
      <c r="J184" s="71" t="str">
        <f t="shared" si="15"/>
        <v>コチラにお問い合わせ下さい。</v>
      </c>
    </row>
    <row r="185" spans="1:10" x14ac:dyDescent="0.45">
      <c r="A185" s="70" t="s">
        <v>1200</v>
      </c>
      <c r="B185" s="46" t="s">
        <v>1106</v>
      </c>
      <c r="C185" s="46" t="s">
        <v>989</v>
      </c>
      <c r="D185" s="47" t="s">
        <v>990</v>
      </c>
      <c r="E185" s="47" t="s">
        <v>862</v>
      </c>
      <c r="F185" s="47" t="s">
        <v>799</v>
      </c>
      <c r="G185" s="48">
        <f>HYPERLINK("https://www.nite.go.jp/nbrc/catalogue/NBRCMediumDetailServlet?NO=001509",1509)</f>
        <v>1509</v>
      </c>
      <c r="H185" s="48">
        <f>HYPERLINK("https://www.nite.go.jp/nbrc/catalogue/NBRCMediumDetailServlet?NO=001545",1545)</f>
        <v>1545</v>
      </c>
      <c r="I185" s="50" t="s">
        <v>780</v>
      </c>
      <c r="J185" s="71" t="str">
        <f t="shared" si="15"/>
        <v>コチラにお問い合わせ下さい。</v>
      </c>
    </row>
    <row r="186" spans="1:10" x14ac:dyDescent="0.45">
      <c r="A186" s="70" t="s">
        <v>1200</v>
      </c>
      <c r="B186" s="46" t="s">
        <v>1107</v>
      </c>
      <c r="C186" s="46" t="s">
        <v>989</v>
      </c>
      <c r="D186" s="47" t="s">
        <v>990</v>
      </c>
      <c r="E186" s="47" t="s">
        <v>862</v>
      </c>
      <c r="F186" s="47" t="s">
        <v>799</v>
      </c>
      <c r="G186" s="48">
        <f>HYPERLINK("https://www.nite.go.jp/nbrc/catalogue/NBRCMediumDetailServlet?NO=000253",253)</f>
        <v>253</v>
      </c>
      <c r="H186" s="48">
        <f>HYPERLINK("https://www.nite.go.jp/nbrc/catalogue/NBRCMediumDetailServlet?NO=001572",1572)</f>
        <v>1572</v>
      </c>
      <c r="I186" s="49" t="s">
        <v>958</v>
      </c>
      <c r="J186" s="71" t="str">
        <f t="shared" si="15"/>
        <v>コチラにお問い合わせ下さい。</v>
      </c>
    </row>
    <row r="187" spans="1:10" x14ac:dyDescent="0.45">
      <c r="A187" s="70" t="s">
        <v>1206</v>
      </c>
      <c r="B187" s="46" t="s">
        <v>1108</v>
      </c>
      <c r="C187" s="46" t="s">
        <v>989</v>
      </c>
      <c r="D187" s="47" t="s">
        <v>990</v>
      </c>
      <c r="E187" s="47" t="s">
        <v>794</v>
      </c>
      <c r="F187" s="47" t="s">
        <v>897</v>
      </c>
      <c r="G187" s="48">
        <f>HYPERLINK("https://www.nite.go.jp/nbrc/catalogue/NBRCMediumDetailServlet?NO=001509",1509)</f>
        <v>1509</v>
      </c>
      <c r="H187" s="48">
        <f>HYPERLINK("https://www.nite.go.jp/nbrc/catalogue/NBRCMediumDetailServlet?NO=001545",1545)</f>
        <v>1545</v>
      </c>
      <c r="I187" s="50" t="s">
        <v>780</v>
      </c>
      <c r="J187" s="71" t="str">
        <f t="shared" si="15"/>
        <v>コチラにお問い合わせ下さい。</v>
      </c>
    </row>
    <row r="188" spans="1:10" x14ac:dyDescent="0.45">
      <c r="A188" s="75" t="s">
        <v>1245</v>
      </c>
      <c r="B188" s="3" t="s">
        <v>872</v>
      </c>
      <c r="C188" s="3">
        <v>1</v>
      </c>
      <c r="D188" s="3" t="s">
        <v>709</v>
      </c>
      <c r="E188" s="3" t="s">
        <v>820</v>
      </c>
      <c r="F188" s="35" t="s">
        <v>764</v>
      </c>
      <c r="G188" s="44">
        <f t="shared" ref="G188:G196" si="16">HYPERLINK("https://www.nite.go.jp/nbrc/catalogue/NBRCMediumDetailServlet?NO=001545",1545)</f>
        <v>1545</v>
      </c>
      <c r="H188" s="44">
        <f t="shared" ref="H188:H196" si="17">HYPERLINK("https://www.nite.go.jp/nbrc/catalogue/NBRCMediumDetailServlet?NO=001509",1509)</f>
        <v>1509</v>
      </c>
      <c r="I188" s="35" t="s">
        <v>958</v>
      </c>
      <c r="J188" s="73" t="str">
        <f>HYPERLINK("https://www.nite.go.jp/nbrc/dbrp/dataview?dataId=ANGE0000500031075","ダウンロード")</f>
        <v>ダウンロード</v>
      </c>
    </row>
    <row r="189" spans="1:10" x14ac:dyDescent="0.45">
      <c r="A189" s="75" t="s">
        <v>1245</v>
      </c>
      <c r="B189" s="3" t="s">
        <v>873</v>
      </c>
      <c r="C189" s="3">
        <v>1</v>
      </c>
      <c r="D189" s="3" t="s">
        <v>709</v>
      </c>
      <c r="E189" s="3" t="s">
        <v>807</v>
      </c>
      <c r="F189" s="35" t="s">
        <v>764</v>
      </c>
      <c r="G189" s="44">
        <f t="shared" si="16"/>
        <v>1545</v>
      </c>
      <c r="H189" s="44">
        <f t="shared" si="17"/>
        <v>1509</v>
      </c>
      <c r="I189" s="35" t="s">
        <v>958</v>
      </c>
      <c r="J189" s="73" t="str">
        <f>HYPERLINK("https://www.nite.go.jp/nbrc/dbrp/dataview?dataId=ANGE0000500031076","ダウンロード")</f>
        <v>ダウンロード</v>
      </c>
    </row>
    <row r="190" spans="1:10" x14ac:dyDescent="0.45">
      <c r="A190" s="75" t="s">
        <v>1245</v>
      </c>
      <c r="B190" s="3" t="s">
        <v>874</v>
      </c>
      <c r="C190" s="3">
        <v>1</v>
      </c>
      <c r="D190" s="3" t="s">
        <v>709</v>
      </c>
      <c r="E190" s="3" t="s">
        <v>820</v>
      </c>
      <c r="F190" s="35" t="s">
        <v>764</v>
      </c>
      <c r="G190" s="44">
        <f t="shared" si="16"/>
        <v>1545</v>
      </c>
      <c r="H190" s="44">
        <f t="shared" si="17"/>
        <v>1509</v>
      </c>
      <c r="I190" s="35" t="s">
        <v>958</v>
      </c>
      <c r="J190" s="73" t="str">
        <f>HYPERLINK("https://www.nite.go.jp/nbrc/dbrp/dataview?dataId=ANGE0000500031077","ダウンロード")</f>
        <v>ダウンロード</v>
      </c>
    </row>
    <row r="191" spans="1:10" x14ac:dyDescent="0.45">
      <c r="A191" s="75" t="s">
        <v>1245</v>
      </c>
      <c r="B191" s="3" t="s">
        <v>875</v>
      </c>
      <c r="C191" s="3">
        <v>1</v>
      </c>
      <c r="D191" s="3" t="s">
        <v>709</v>
      </c>
      <c r="E191" s="3" t="s">
        <v>807</v>
      </c>
      <c r="F191" s="35" t="s">
        <v>764</v>
      </c>
      <c r="G191" s="44">
        <f t="shared" si="16"/>
        <v>1545</v>
      </c>
      <c r="H191" s="44">
        <f t="shared" si="17"/>
        <v>1509</v>
      </c>
      <c r="I191" s="35" t="s">
        <v>958</v>
      </c>
      <c r="J191" s="73" t="str">
        <f>HYPERLINK("https://www.nite.go.jp/nbrc/dbrp/dataview?dataId=ANGE0000500031078","ダウンロード")</f>
        <v>ダウンロード</v>
      </c>
    </row>
    <row r="192" spans="1:10" x14ac:dyDescent="0.45">
      <c r="A192" s="75" t="s">
        <v>1245</v>
      </c>
      <c r="B192" s="3" t="s">
        <v>876</v>
      </c>
      <c r="C192" s="3">
        <v>1</v>
      </c>
      <c r="D192" s="3" t="s">
        <v>709</v>
      </c>
      <c r="E192" s="3" t="s">
        <v>807</v>
      </c>
      <c r="F192" s="35" t="s">
        <v>764</v>
      </c>
      <c r="G192" s="44">
        <f t="shared" si="16"/>
        <v>1545</v>
      </c>
      <c r="H192" s="44">
        <f t="shared" si="17"/>
        <v>1509</v>
      </c>
      <c r="I192" s="35" t="s">
        <v>958</v>
      </c>
      <c r="J192" s="73" t="str">
        <f>HYPERLINK("https://www.nite.go.jp/nbrc/dbrp/dataview?dataId=ANGE0000500031079","ダウンロード")</f>
        <v>ダウンロード</v>
      </c>
    </row>
    <row r="193" spans="1:10" x14ac:dyDescent="0.45">
      <c r="A193" s="75" t="s">
        <v>1245</v>
      </c>
      <c r="B193" s="3" t="s">
        <v>877</v>
      </c>
      <c r="C193" s="3">
        <v>1</v>
      </c>
      <c r="D193" s="3" t="s">
        <v>709</v>
      </c>
      <c r="E193" s="3" t="s">
        <v>807</v>
      </c>
      <c r="F193" s="35" t="s">
        <v>764</v>
      </c>
      <c r="G193" s="44">
        <f t="shared" si="16"/>
        <v>1545</v>
      </c>
      <c r="H193" s="44">
        <f t="shared" si="17"/>
        <v>1509</v>
      </c>
      <c r="I193" s="35" t="s">
        <v>958</v>
      </c>
      <c r="J193" s="73" t="str">
        <f>HYPERLINK("https://www.nite.go.jp/nbrc/dbrp/dataview?dataId=ANGE0000500031080","ダウンロード")</f>
        <v>ダウンロード</v>
      </c>
    </row>
    <row r="194" spans="1:10" x14ac:dyDescent="0.45">
      <c r="A194" s="75" t="s">
        <v>1245</v>
      </c>
      <c r="B194" s="3" t="s">
        <v>878</v>
      </c>
      <c r="C194" s="3">
        <v>1</v>
      </c>
      <c r="D194" s="3" t="s">
        <v>709</v>
      </c>
      <c r="E194" s="3" t="s">
        <v>807</v>
      </c>
      <c r="F194" s="35" t="s">
        <v>764</v>
      </c>
      <c r="G194" s="44">
        <f t="shared" si="16"/>
        <v>1545</v>
      </c>
      <c r="H194" s="44">
        <f t="shared" si="17"/>
        <v>1509</v>
      </c>
      <c r="I194" s="35" t="s">
        <v>958</v>
      </c>
      <c r="J194" s="73" t="str">
        <f>HYPERLINK("https://www.nite.go.jp/nbrc/dbrp/dataview?dataId=ANGE0000500031081","ダウンロード")</f>
        <v>ダウンロード</v>
      </c>
    </row>
    <row r="195" spans="1:10" x14ac:dyDescent="0.45">
      <c r="A195" s="75" t="s">
        <v>1245</v>
      </c>
      <c r="B195" s="3" t="s">
        <v>879</v>
      </c>
      <c r="C195" s="3">
        <v>1</v>
      </c>
      <c r="D195" s="3" t="s">
        <v>709</v>
      </c>
      <c r="E195" s="3" t="s">
        <v>807</v>
      </c>
      <c r="F195" s="35" t="s">
        <v>764</v>
      </c>
      <c r="G195" s="44">
        <f t="shared" si="16"/>
        <v>1545</v>
      </c>
      <c r="H195" s="44">
        <f t="shared" si="17"/>
        <v>1509</v>
      </c>
      <c r="I195" s="35" t="s">
        <v>958</v>
      </c>
      <c r="J195" s="73" t="str">
        <f>HYPERLINK("https://www.nite.go.jp/nbrc/dbrp/dataview?dataId=ANGE0000500031082","ダウンロード")</f>
        <v>ダウンロード</v>
      </c>
    </row>
    <row r="196" spans="1:10" x14ac:dyDescent="0.45">
      <c r="A196" s="75" t="s">
        <v>1245</v>
      </c>
      <c r="B196" s="3" t="s">
        <v>880</v>
      </c>
      <c r="C196" s="3">
        <v>1</v>
      </c>
      <c r="D196" s="3" t="s">
        <v>709</v>
      </c>
      <c r="E196" s="3" t="s">
        <v>826</v>
      </c>
      <c r="F196" s="35" t="s">
        <v>764</v>
      </c>
      <c r="G196" s="44">
        <f t="shared" si="16"/>
        <v>1545</v>
      </c>
      <c r="H196" s="44">
        <f t="shared" si="17"/>
        <v>1509</v>
      </c>
      <c r="I196" s="35" t="s">
        <v>958</v>
      </c>
      <c r="J196" s="73" t="str">
        <f>HYPERLINK("https://www.nite.go.jp/nbrc/dbrp/dataview?dataId=ANGE0000500031083","ダウンロード")</f>
        <v>ダウンロード</v>
      </c>
    </row>
    <row r="197" spans="1:10" x14ac:dyDescent="0.45">
      <c r="A197" s="75" t="s">
        <v>1245</v>
      </c>
      <c r="B197" s="3" t="s">
        <v>881</v>
      </c>
      <c r="C197" s="3">
        <v>1</v>
      </c>
      <c r="D197" s="3" t="s">
        <v>709</v>
      </c>
      <c r="E197" s="3" t="s">
        <v>820</v>
      </c>
      <c r="F197" s="35" t="s">
        <v>764</v>
      </c>
      <c r="G197" s="44">
        <f>HYPERLINK("https://www.nite.go.jp/nbrc/catalogue/NBRCMediumDetailServlet?NO=000253",253)</f>
        <v>253</v>
      </c>
      <c r="H197" s="44">
        <f>HYPERLINK("https://www.nite.go.jp/nbrc/catalogue/NBRCMediumDetailServlet?NO=001572",1572)</f>
        <v>1572</v>
      </c>
      <c r="I197" s="35" t="s">
        <v>958</v>
      </c>
      <c r="J197" s="73" t="str">
        <f>HYPERLINK("https://www.nite.go.jp/nbrc/dbrp/dataview?dataId=ANGE0000500031084","ダウンロード")</f>
        <v>ダウンロード</v>
      </c>
    </row>
    <row r="198" spans="1:10" x14ac:dyDescent="0.45">
      <c r="A198" s="75" t="s">
        <v>1246</v>
      </c>
      <c r="B198" s="3" t="s">
        <v>882</v>
      </c>
      <c r="C198" s="3">
        <v>1</v>
      </c>
      <c r="D198" s="3" t="s">
        <v>709</v>
      </c>
      <c r="E198" s="3" t="s">
        <v>820</v>
      </c>
      <c r="F198" s="35" t="s">
        <v>764</v>
      </c>
      <c r="G198" s="44">
        <f>HYPERLINK("https://www.nite.go.jp/nbrc/catalogue/NBRCMediumDetailServlet?NO=001574",1574)</f>
        <v>1574</v>
      </c>
      <c r="H198" s="44">
        <f>HYPERLINK("https://www.nite.go.jp/nbrc/catalogue/NBRCMediumDetailServlet?NO=001535",1535)</f>
        <v>1535</v>
      </c>
      <c r="I198" s="35" t="s">
        <v>958</v>
      </c>
      <c r="J198" s="73" t="str">
        <f>HYPERLINK("https://www.nite.go.jp/nbrc/dbrp/dataview?dataId=ANGE0000500031085","ダウンロード")</f>
        <v>ダウンロード</v>
      </c>
    </row>
    <row r="199" spans="1:10" x14ac:dyDescent="0.45">
      <c r="A199" s="75" t="s">
        <v>1247</v>
      </c>
      <c r="B199" s="3" t="s">
        <v>883</v>
      </c>
      <c r="C199" s="3">
        <v>1</v>
      </c>
      <c r="D199" s="3" t="s">
        <v>709</v>
      </c>
      <c r="E199" s="3" t="s">
        <v>807</v>
      </c>
      <c r="F199" s="35" t="s">
        <v>764</v>
      </c>
      <c r="G199" s="44">
        <f>HYPERLINK("https://www.nite.go.jp/nbrc/catalogue/NBRCMediumDetailServlet?NO=001574",1574)</f>
        <v>1574</v>
      </c>
      <c r="H199" s="44">
        <f>HYPERLINK("https://www.nite.go.jp/nbrc/catalogue/NBRCMediumDetailServlet?NO=001535",1535)</f>
        <v>1535</v>
      </c>
      <c r="I199" s="35" t="s">
        <v>958</v>
      </c>
      <c r="J199" s="73" t="str">
        <f>HYPERLINK("https://www.nite.go.jp/nbrc/dbrp/dataview?dataId=ANGE0000500031086","ダウンロード")</f>
        <v>ダウンロード</v>
      </c>
    </row>
    <row r="200" spans="1:10" x14ac:dyDescent="0.45">
      <c r="A200" s="70" t="s">
        <v>1183</v>
      </c>
      <c r="B200" s="46" t="s">
        <v>1109</v>
      </c>
      <c r="C200" s="46" t="s">
        <v>989</v>
      </c>
      <c r="D200" s="47" t="s">
        <v>783</v>
      </c>
      <c r="E200" s="47" t="s">
        <v>820</v>
      </c>
      <c r="F200" s="47" t="s">
        <v>764</v>
      </c>
      <c r="G200" s="48">
        <f>HYPERLINK("https://www.nite.go.jp/nbrc/catalogue/NBRCMediumDetailServlet?NO=000253",253)</f>
        <v>253</v>
      </c>
      <c r="H200" s="48">
        <f>HYPERLINK("https://www.nite.go.jp/nbrc/catalogue/NBRCMediumDetailServlet?NO=001572",1572)</f>
        <v>1572</v>
      </c>
      <c r="I200" s="49" t="s">
        <v>958</v>
      </c>
      <c r="J200" s="71" t="str">
        <f t="shared" ref="J200:J202" si="18">HYPERLINK("mailto:rd@nite.go.jp","コチラにお問い合わせ下さい。")</f>
        <v>コチラにお問い合わせ下さい。</v>
      </c>
    </row>
    <row r="201" spans="1:10" x14ac:dyDescent="0.45">
      <c r="A201" s="70" t="s">
        <v>1197</v>
      </c>
      <c r="B201" s="46" t="s">
        <v>1110</v>
      </c>
      <c r="C201" s="46" t="s">
        <v>989</v>
      </c>
      <c r="D201" s="47" t="s">
        <v>783</v>
      </c>
      <c r="E201" s="47" t="s">
        <v>809</v>
      </c>
      <c r="F201" s="47" t="s">
        <v>764</v>
      </c>
      <c r="G201" s="48">
        <f>HYPERLINK("https://www.nite.go.jp/nbrc/catalogue/NBRCMediumDetailServlet?NO=001574",1574)</f>
        <v>1574</v>
      </c>
      <c r="H201" s="48">
        <f>HYPERLINK("https://www.nite.go.jp/nbrc/catalogue/NBRCMediumDetailServlet?NO=001535",1535)</f>
        <v>1535</v>
      </c>
      <c r="I201" s="49" t="s">
        <v>958</v>
      </c>
      <c r="J201" s="71" t="str">
        <f t="shared" si="18"/>
        <v>コチラにお問い合わせ下さい。</v>
      </c>
    </row>
    <row r="202" spans="1:10" x14ac:dyDescent="0.45">
      <c r="A202" s="70" t="s">
        <v>1197</v>
      </c>
      <c r="B202" s="46" t="s">
        <v>1111</v>
      </c>
      <c r="C202" s="46" t="s">
        <v>989</v>
      </c>
      <c r="D202" s="47" t="s">
        <v>783</v>
      </c>
      <c r="E202" s="47" t="s">
        <v>820</v>
      </c>
      <c r="F202" s="47" t="s">
        <v>764</v>
      </c>
      <c r="G202" s="48">
        <f>HYPERLINK("https://www.nite.go.jp/nbrc/catalogue/NBRCMediumDetailServlet?NO=001574",1574)</f>
        <v>1574</v>
      </c>
      <c r="H202" s="48">
        <f>HYPERLINK("https://www.nite.go.jp/nbrc/catalogue/NBRCMediumDetailServlet?NO=001535",1535)</f>
        <v>1535</v>
      </c>
      <c r="I202" s="49" t="s">
        <v>958</v>
      </c>
      <c r="J202" s="71" t="str">
        <f t="shared" si="18"/>
        <v>コチラにお問い合わせ下さい。</v>
      </c>
    </row>
    <row r="203" spans="1:10" x14ac:dyDescent="0.45">
      <c r="A203" s="75" t="s">
        <v>1248</v>
      </c>
      <c r="B203" s="3" t="s">
        <v>884</v>
      </c>
      <c r="C203" s="3">
        <v>1</v>
      </c>
      <c r="D203" s="3" t="s">
        <v>709</v>
      </c>
      <c r="E203" s="3" t="s">
        <v>820</v>
      </c>
      <c r="F203" s="35" t="s">
        <v>764</v>
      </c>
      <c r="G203" s="44">
        <f>HYPERLINK("https://www.nite.go.jp/nbrc/catalogue/NBRCMediumDetailServlet?NO=001535",1535)</f>
        <v>1535</v>
      </c>
      <c r="H203" s="44"/>
      <c r="I203" s="35" t="s">
        <v>958</v>
      </c>
      <c r="J203" s="73" t="str">
        <f>HYPERLINK("https://www.nite.go.jp/nbrc/dbrp/dataview?dataId=ANGE0000500031087","ダウンロード")</f>
        <v>ダウンロード</v>
      </c>
    </row>
    <row r="204" spans="1:10" x14ac:dyDescent="0.45">
      <c r="A204" s="70" t="s">
        <v>1187</v>
      </c>
      <c r="B204" s="46" t="s">
        <v>1112</v>
      </c>
      <c r="C204" s="46" t="s">
        <v>989</v>
      </c>
      <c r="D204" s="47" t="s">
        <v>783</v>
      </c>
      <c r="E204" s="47" t="s">
        <v>809</v>
      </c>
      <c r="F204" s="47" t="s">
        <v>764</v>
      </c>
      <c r="G204" s="48">
        <f t="shared" ref="G204:G219" si="19">HYPERLINK("https://www.nite.go.jp/nbrc/catalogue/NBRCMediumDetailServlet?NO=001574",1574)</f>
        <v>1574</v>
      </c>
      <c r="H204" s="48">
        <f t="shared" ref="H204:H219" si="20">HYPERLINK("https://www.nite.go.jp/nbrc/catalogue/NBRCMediumDetailServlet?NO=001535",1535)</f>
        <v>1535</v>
      </c>
      <c r="I204" s="49" t="s">
        <v>958</v>
      </c>
      <c r="J204" s="71" t="str">
        <f>HYPERLINK("mailto:rd@nite.go.jp","コチラにお問い合わせ下さい。")</f>
        <v>コチラにお問い合わせ下さい。</v>
      </c>
    </row>
    <row r="205" spans="1:10" x14ac:dyDescent="0.45">
      <c r="A205" s="75" t="s">
        <v>1249</v>
      </c>
      <c r="B205" s="3" t="s">
        <v>885</v>
      </c>
      <c r="C205" s="3">
        <v>1</v>
      </c>
      <c r="D205" s="3" t="s">
        <v>709</v>
      </c>
      <c r="E205" s="3" t="s">
        <v>809</v>
      </c>
      <c r="F205" s="35" t="s">
        <v>764</v>
      </c>
      <c r="G205" s="44">
        <f t="shared" si="19"/>
        <v>1574</v>
      </c>
      <c r="H205" s="44">
        <f t="shared" si="20"/>
        <v>1535</v>
      </c>
      <c r="I205" s="35" t="s">
        <v>958</v>
      </c>
      <c r="J205" s="73" t="str">
        <f>HYPERLINK("https://www.nite.go.jp/nbrc/dbrp/dataview?dataId=ANGE0000500031088","ダウンロード")</f>
        <v>ダウンロード</v>
      </c>
    </row>
    <row r="206" spans="1:10" x14ac:dyDescent="0.45">
      <c r="A206" s="75" t="s">
        <v>1250</v>
      </c>
      <c r="B206" s="3" t="s">
        <v>886</v>
      </c>
      <c r="C206" s="3">
        <v>1</v>
      </c>
      <c r="D206" s="3" t="s">
        <v>709</v>
      </c>
      <c r="E206" s="3" t="s">
        <v>807</v>
      </c>
      <c r="F206" s="35" t="s">
        <v>764</v>
      </c>
      <c r="G206" s="44">
        <f t="shared" si="19"/>
        <v>1574</v>
      </c>
      <c r="H206" s="44">
        <f t="shared" si="20"/>
        <v>1535</v>
      </c>
      <c r="I206" s="35" t="s">
        <v>958</v>
      </c>
      <c r="J206" s="73" t="str">
        <f>HYPERLINK("https://www.nite.go.jp/nbrc/dbrp/dataview?dataId=ANGE0000500031089","ダウンロード")</f>
        <v>ダウンロード</v>
      </c>
    </row>
    <row r="207" spans="1:10" x14ac:dyDescent="0.45">
      <c r="A207" s="70" t="s">
        <v>1186</v>
      </c>
      <c r="B207" s="46" t="s">
        <v>1113</v>
      </c>
      <c r="C207" s="46" t="s">
        <v>989</v>
      </c>
      <c r="D207" s="47" t="s">
        <v>783</v>
      </c>
      <c r="E207" s="47" t="s">
        <v>820</v>
      </c>
      <c r="F207" s="47" t="s">
        <v>764</v>
      </c>
      <c r="G207" s="48">
        <f t="shared" si="19"/>
        <v>1574</v>
      </c>
      <c r="H207" s="48">
        <f t="shared" si="20"/>
        <v>1535</v>
      </c>
      <c r="I207" s="49" t="s">
        <v>958</v>
      </c>
      <c r="J207" s="71" t="str">
        <f t="shared" ref="J207:J208" si="21">HYPERLINK("mailto:rd@nite.go.jp","コチラにお問い合わせ下さい。")</f>
        <v>コチラにお問い合わせ下さい。</v>
      </c>
    </row>
    <row r="208" spans="1:10" x14ac:dyDescent="0.45">
      <c r="A208" s="70" t="s">
        <v>1207</v>
      </c>
      <c r="B208" s="46" t="s">
        <v>1114</v>
      </c>
      <c r="C208" s="46" t="s">
        <v>1175</v>
      </c>
      <c r="D208" s="47" t="s">
        <v>783</v>
      </c>
      <c r="E208" s="47" t="s">
        <v>809</v>
      </c>
      <c r="F208" s="47" t="s">
        <v>764</v>
      </c>
      <c r="G208" s="48">
        <f t="shared" si="19"/>
        <v>1574</v>
      </c>
      <c r="H208" s="48">
        <f t="shared" si="20"/>
        <v>1535</v>
      </c>
      <c r="I208" s="49" t="s">
        <v>958</v>
      </c>
      <c r="J208" s="71" t="str">
        <f t="shared" si="21"/>
        <v>コチラにお問い合わせ下さい。</v>
      </c>
    </row>
    <row r="209" spans="1:10" x14ac:dyDescent="0.45">
      <c r="A209" s="75" t="s">
        <v>1251</v>
      </c>
      <c r="B209" s="3" t="s">
        <v>887</v>
      </c>
      <c r="C209" s="3">
        <v>1</v>
      </c>
      <c r="D209" s="3" t="s">
        <v>709</v>
      </c>
      <c r="E209" s="3" t="s">
        <v>820</v>
      </c>
      <c r="F209" s="35" t="s">
        <v>764</v>
      </c>
      <c r="G209" s="44">
        <f t="shared" si="19"/>
        <v>1574</v>
      </c>
      <c r="H209" s="44">
        <f t="shared" si="20"/>
        <v>1535</v>
      </c>
      <c r="I209" s="35" t="s">
        <v>958</v>
      </c>
      <c r="J209" s="73" t="str">
        <f>HYPERLINK("https://www.nite.go.jp/nbrc/dbrp/dataview?dataId=ANGE0000500031091","ダウンロード")</f>
        <v>ダウンロード</v>
      </c>
    </row>
    <row r="210" spans="1:10" x14ac:dyDescent="0.45">
      <c r="A210" s="70" t="s">
        <v>1208</v>
      </c>
      <c r="B210" s="46" t="s">
        <v>1115</v>
      </c>
      <c r="C210" s="46" t="s">
        <v>989</v>
      </c>
      <c r="D210" s="47" t="s">
        <v>783</v>
      </c>
      <c r="E210" s="47" t="s">
        <v>826</v>
      </c>
      <c r="F210" s="47" t="s">
        <v>764</v>
      </c>
      <c r="G210" s="48">
        <f t="shared" si="19"/>
        <v>1574</v>
      </c>
      <c r="H210" s="48">
        <f t="shared" si="20"/>
        <v>1535</v>
      </c>
      <c r="I210" s="49" t="s">
        <v>958</v>
      </c>
      <c r="J210" s="71" t="str">
        <f t="shared" ref="J210:J211" si="22">HYPERLINK("mailto:rd@nite.go.jp","コチラにお問い合わせ下さい。")</f>
        <v>コチラにお問い合わせ下さい。</v>
      </c>
    </row>
    <row r="211" spans="1:10" x14ac:dyDescent="0.45">
      <c r="A211" s="70" t="s">
        <v>1209</v>
      </c>
      <c r="B211" s="46" t="s">
        <v>1116</v>
      </c>
      <c r="C211" s="46" t="s">
        <v>989</v>
      </c>
      <c r="D211" s="47" t="s">
        <v>783</v>
      </c>
      <c r="E211" s="47" t="s">
        <v>809</v>
      </c>
      <c r="F211" s="47" t="s">
        <v>764</v>
      </c>
      <c r="G211" s="48">
        <f t="shared" si="19"/>
        <v>1574</v>
      </c>
      <c r="H211" s="48">
        <f t="shared" si="20"/>
        <v>1535</v>
      </c>
      <c r="I211" s="49" t="s">
        <v>958</v>
      </c>
      <c r="J211" s="71" t="str">
        <f t="shared" si="22"/>
        <v>コチラにお問い合わせ下さい。</v>
      </c>
    </row>
    <row r="212" spans="1:10" x14ac:dyDescent="0.45">
      <c r="A212" s="75" t="s">
        <v>1252</v>
      </c>
      <c r="B212" s="3" t="s">
        <v>888</v>
      </c>
      <c r="C212" s="3">
        <v>1</v>
      </c>
      <c r="D212" s="3" t="s">
        <v>709</v>
      </c>
      <c r="E212" s="3" t="s">
        <v>807</v>
      </c>
      <c r="F212" s="35" t="s">
        <v>764</v>
      </c>
      <c r="G212" s="44">
        <f t="shared" si="19"/>
        <v>1574</v>
      </c>
      <c r="H212" s="44">
        <f t="shared" si="20"/>
        <v>1535</v>
      </c>
      <c r="I212" s="35" t="s">
        <v>958</v>
      </c>
      <c r="J212" s="73" t="str">
        <f>HYPERLINK("https://www.nite.go.jp/nbrc/dbrp/dataview?dataId=ANGE0000500031092","ダウンロード")</f>
        <v>ダウンロード</v>
      </c>
    </row>
    <row r="213" spans="1:10" x14ac:dyDescent="0.45">
      <c r="A213" s="75" t="s">
        <v>1252</v>
      </c>
      <c r="B213" s="3" t="s">
        <v>889</v>
      </c>
      <c r="C213" s="3">
        <v>1</v>
      </c>
      <c r="D213" s="3" t="s">
        <v>709</v>
      </c>
      <c r="E213" s="3" t="s">
        <v>820</v>
      </c>
      <c r="F213" s="35" t="s">
        <v>764</v>
      </c>
      <c r="G213" s="44">
        <f t="shared" si="19"/>
        <v>1574</v>
      </c>
      <c r="H213" s="44">
        <f t="shared" si="20"/>
        <v>1535</v>
      </c>
      <c r="I213" s="35" t="s">
        <v>958</v>
      </c>
      <c r="J213" s="73" t="str">
        <f>HYPERLINK("https://www.nite.go.jp/nbrc/dbrp/dataview?dataId=ANGE0000500031093","ダウンロード")</f>
        <v>ダウンロード</v>
      </c>
    </row>
    <row r="214" spans="1:10" x14ac:dyDescent="0.45">
      <c r="A214" s="75" t="s">
        <v>1253</v>
      </c>
      <c r="B214" s="3" t="s">
        <v>890</v>
      </c>
      <c r="C214" s="3">
        <v>1</v>
      </c>
      <c r="D214" s="3" t="s">
        <v>709</v>
      </c>
      <c r="E214" s="3" t="s">
        <v>809</v>
      </c>
      <c r="F214" s="35" t="s">
        <v>764</v>
      </c>
      <c r="G214" s="44">
        <f t="shared" si="19"/>
        <v>1574</v>
      </c>
      <c r="H214" s="44">
        <f t="shared" si="20"/>
        <v>1535</v>
      </c>
      <c r="I214" s="35" t="s">
        <v>958</v>
      </c>
      <c r="J214" s="73" t="str">
        <f>HYPERLINK("https://www.nite.go.jp/nbrc/dbrp/dataview?dataId=ANGE0000500031094","ダウンロード")</f>
        <v>ダウンロード</v>
      </c>
    </row>
    <row r="215" spans="1:10" x14ac:dyDescent="0.45">
      <c r="A215" s="75" t="s">
        <v>1254</v>
      </c>
      <c r="B215" s="3" t="s">
        <v>891</v>
      </c>
      <c r="C215" s="3">
        <v>1</v>
      </c>
      <c r="D215" s="3" t="s">
        <v>709</v>
      </c>
      <c r="E215" s="3" t="s">
        <v>820</v>
      </c>
      <c r="F215" s="35" t="s">
        <v>764</v>
      </c>
      <c r="G215" s="44">
        <f t="shared" si="19"/>
        <v>1574</v>
      </c>
      <c r="H215" s="44">
        <f t="shared" si="20"/>
        <v>1535</v>
      </c>
      <c r="I215" s="35" t="s">
        <v>958</v>
      </c>
      <c r="J215" s="73" t="str">
        <f>HYPERLINK("https://www.nite.go.jp/nbrc/dbrp/dataview?dataId=ANGE0000500031095","ダウンロード")</f>
        <v>ダウンロード</v>
      </c>
    </row>
    <row r="216" spans="1:10" x14ac:dyDescent="0.45">
      <c r="A216" s="75" t="s">
        <v>1255</v>
      </c>
      <c r="B216" s="3" t="s">
        <v>892</v>
      </c>
      <c r="C216" s="3">
        <v>1</v>
      </c>
      <c r="D216" s="3" t="s">
        <v>709</v>
      </c>
      <c r="E216" s="3" t="s">
        <v>826</v>
      </c>
      <c r="F216" s="35" t="s">
        <v>764</v>
      </c>
      <c r="G216" s="44">
        <f t="shared" si="19"/>
        <v>1574</v>
      </c>
      <c r="H216" s="44">
        <f t="shared" si="20"/>
        <v>1535</v>
      </c>
      <c r="I216" s="35" t="s">
        <v>958</v>
      </c>
      <c r="J216" s="73" t="str">
        <f>HYPERLINK("https://www.nite.go.jp/nbrc/dbrp/dataview?dataId=ANGE0000500031096","ダウンロード")</f>
        <v>ダウンロード</v>
      </c>
    </row>
    <row r="217" spans="1:10" x14ac:dyDescent="0.45">
      <c r="A217" s="70" t="s">
        <v>1210</v>
      </c>
      <c r="B217" s="46" t="s">
        <v>1117</v>
      </c>
      <c r="C217" s="46" t="s">
        <v>989</v>
      </c>
      <c r="D217" s="47" t="s">
        <v>783</v>
      </c>
      <c r="E217" s="47" t="s">
        <v>826</v>
      </c>
      <c r="F217" s="47" t="s">
        <v>764</v>
      </c>
      <c r="G217" s="48">
        <f t="shared" si="19"/>
        <v>1574</v>
      </c>
      <c r="H217" s="48">
        <f t="shared" si="20"/>
        <v>1535</v>
      </c>
      <c r="I217" s="49" t="s">
        <v>958</v>
      </c>
      <c r="J217" s="71" t="str">
        <f t="shared" ref="J217:J218" si="23">HYPERLINK("mailto:rd@nite.go.jp","コチラにお問い合わせ下さい。")</f>
        <v>コチラにお問い合わせ下さい。</v>
      </c>
    </row>
    <row r="218" spans="1:10" x14ac:dyDescent="0.45">
      <c r="A218" s="70" t="s">
        <v>1210</v>
      </c>
      <c r="B218" s="46" t="s">
        <v>1118</v>
      </c>
      <c r="C218" s="46" t="s">
        <v>989</v>
      </c>
      <c r="D218" s="47" t="s">
        <v>783</v>
      </c>
      <c r="E218" s="47" t="s">
        <v>826</v>
      </c>
      <c r="F218" s="47" t="s">
        <v>764</v>
      </c>
      <c r="G218" s="48">
        <f t="shared" si="19"/>
        <v>1574</v>
      </c>
      <c r="H218" s="48">
        <f t="shared" si="20"/>
        <v>1535</v>
      </c>
      <c r="I218" s="49" t="s">
        <v>958</v>
      </c>
      <c r="J218" s="71" t="str">
        <f t="shared" si="23"/>
        <v>コチラにお問い合わせ下さい。</v>
      </c>
    </row>
    <row r="219" spans="1:10" x14ac:dyDescent="0.45">
      <c r="A219" s="75" t="s">
        <v>1256</v>
      </c>
      <c r="B219" s="3" t="s">
        <v>893</v>
      </c>
      <c r="C219" s="3">
        <v>1</v>
      </c>
      <c r="D219" s="3" t="s">
        <v>709</v>
      </c>
      <c r="E219" s="3" t="s">
        <v>820</v>
      </c>
      <c r="F219" s="35" t="s">
        <v>764</v>
      </c>
      <c r="G219" s="44">
        <f t="shared" si="19"/>
        <v>1574</v>
      </c>
      <c r="H219" s="44">
        <f t="shared" si="20"/>
        <v>1535</v>
      </c>
      <c r="I219" s="35" t="s">
        <v>958</v>
      </c>
      <c r="J219" s="73" t="str">
        <f>HYPERLINK("https://www.nite.go.jp/nbrc/dbrp/dataview?dataId=ANGE0000500031097","ダウンロード")</f>
        <v>ダウンロード</v>
      </c>
    </row>
    <row r="220" spans="1:10" x14ac:dyDescent="0.45">
      <c r="A220" s="75" t="s">
        <v>1257</v>
      </c>
      <c r="B220" s="3" t="s">
        <v>894</v>
      </c>
      <c r="C220" s="3">
        <v>1</v>
      </c>
      <c r="D220" s="3" t="s">
        <v>709</v>
      </c>
      <c r="E220" s="3" t="s">
        <v>820</v>
      </c>
      <c r="F220" s="35" t="s">
        <v>764</v>
      </c>
      <c r="G220" s="44">
        <f>HYPERLINK("https://www.nite.go.jp/nbrc/catalogue/NBRCMediumDetailServlet?NO=000253",253)</f>
        <v>253</v>
      </c>
      <c r="H220" s="44">
        <f>HYPERLINK("https://www.nite.go.jp/nbrc/catalogue/NBRCMediumDetailServlet?NO=001572",1572)</f>
        <v>1572</v>
      </c>
      <c r="I220" s="35" t="s">
        <v>958</v>
      </c>
      <c r="J220" s="73" t="str">
        <f>HYPERLINK("https://www.nite.go.jp/nbrc/dbrp/dataview?dataId=ANGE0000500031098","ダウンロード")</f>
        <v>ダウンロード</v>
      </c>
    </row>
    <row r="221" spans="1:10" x14ac:dyDescent="0.45">
      <c r="A221" s="70" t="s">
        <v>1211</v>
      </c>
      <c r="B221" s="46" t="s">
        <v>1119</v>
      </c>
      <c r="C221" s="46" t="s">
        <v>988</v>
      </c>
      <c r="D221" s="47" t="s">
        <v>783</v>
      </c>
      <c r="E221" s="47" t="s">
        <v>809</v>
      </c>
      <c r="F221" s="47" t="s">
        <v>764</v>
      </c>
      <c r="G221" s="48">
        <f>HYPERLINK("https://www.nite.go.jp/nbrc/catalogue/NBRCMediumDetailServlet?NO=001535",1535)</f>
        <v>1535</v>
      </c>
      <c r="H221" s="48"/>
      <c r="I221" s="49" t="s">
        <v>958</v>
      </c>
      <c r="J221" s="71" t="str">
        <f t="shared" ref="J221:J223" si="24">HYPERLINK("mailto:rd@nite.go.jp","コチラにお問い合わせ下さい。")</f>
        <v>コチラにお問い合わせ下さい。</v>
      </c>
    </row>
    <row r="222" spans="1:10" x14ac:dyDescent="0.45">
      <c r="A222" s="70" t="s">
        <v>1203</v>
      </c>
      <c r="B222" s="46" t="s">
        <v>1120</v>
      </c>
      <c r="C222" s="46" t="s">
        <v>989</v>
      </c>
      <c r="D222" s="47" t="s">
        <v>783</v>
      </c>
      <c r="E222" s="47" t="s">
        <v>807</v>
      </c>
      <c r="F222" s="47" t="s">
        <v>764</v>
      </c>
      <c r="G222" s="48">
        <f>HYPERLINK("https://www.nite.go.jp/nbrc/catalogue/NBRCMediumDetailServlet?NO=001574",1574)</f>
        <v>1574</v>
      </c>
      <c r="H222" s="48">
        <f>HYPERLINK("https://www.nite.go.jp/nbrc/catalogue/NBRCMediumDetailServlet?NO=001535",1535)</f>
        <v>1535</v>
      </c>
      <c r="I222" s="49" t="s">
        <v>958</v>
      </c>
      <c r="J222" s="71" t="str">
        <f t="shared" si="24"/>
        <v>コチラにお問い合わせ下さい。</v>
      </c>
    </row>
    <row r="223" spans="1:10" x14ac:dyDescent="0.45">
      <c r="A223" s="70" t="s">
        <v>1212</v>
      </c>
      <c r="B223" s="46" t="s">
        <v>1121</v>
      </c>
      <c r="C223" s="46" t="s">
        <v>988</v>
      </c>
      <c r="D223" s="47" t="s">
        <v>783</v>
      </c>
      <c r="E223" s="47" t="s">
        <v>807</v>
      </c>
      <c r="F223" s="47" t="s">
        <v>764</v>
      </c>
      <c r="G223" s="48">
        <f>HYPERLINK("https://www.nite.go.jp/nbrc/catalogue/NBRCMediumDetailServlet?NO=001574",1574)</f>
        <v>1574</v>
      </c>
      <c r="H223" s="48">
        <f>HYPERLINK("https://www.nite.go.jp/nbrc/catalogue/NBRCMediumDetailServlet?NO=001535",1535)</f>
        <v>1535</v>
      </c>
      <c r="I223" s="49" t="s">
        <v>958</v>
      </c>
      <c r="J223" s="71" t="str">
        <f t="shared" si="24"/>
        <v>コチラにお問い合わせ下さい。</v>
      </c>
    </row>
    <row r="224" spans="1:10" x14ac:dyDescent="0.45">
      <c r="A224" s="75" t="s">
        <v>1258</v>
      </c>
      <c r="B224" s="3" t="s">
        <v>895</v>
      </c>
      <c r="C224" s="3">
        <v>1</v>
      </c>
      <c r="D224" s="3" t="s">
        <v>709</v>
      </c>
      <c r="E224" s="3" t="s">
        <v>820</v>
      </c>
      <c r="F224" s="35" t="s">
        <v>764</v>
      </c>
      <c r="G224" s="44">
        <f>HYPERLINK("https://www.nite.go.jp/nbrc/catalogue/NBRCMediumDetailServlet?NO=000253",253)</f>
        <v>253</v>
      </c>
      <c r="H224" s="44">
        <f>HYPERLINK("https://www.nite.go.jp/nbrc/catalogue/NBRCMediumDetailServlet?NO=001572",1572)</f>
        <v>1572</v>
      </c>
      <c r="I224" s="35" t="s">
        <v>958</v>
      </c>
      <c r="J224" s="73" t="str">
        <f>HYPERLINK("https://www.nite.go.jp/nbrc/dbrp/dataview?dataId=ANGE0000500031099","ダウンロード")</f>
        <v>ダウンロード</v>
      </c>
    </row>
    <row r="225" spans="1:10" x14ac:dyDescent="0.45">
      <c r="A225" s="75" t="s">
        <v>1258</v>
      </c>
      <c r="B225" s="3" t="s">
        <v>896</v>
      </c>
      <c r="C225" s="3">
        <v>1</v>
      </c>
      <c r="D225" s="3" t="s">
        <v>709</v>
      </c>
      <c r="E225" s="3" t="s">
        <v>820</v>
      </c>
      <c r="F225" s="35" t="s">
        <v>764</v>
      </c>
      <c r="G225" s="44">
        <f>HYPERLINK("https://www.nite.go.jp/nbrc/catalogue/NBRCMediumDetailServlet?NO=000253",253)</f>
        <v>253</v>
      </c>
      <c r="H225" s="44">
        <f>HYPERLINK("https://www.nite.go.jp/nbrc/catalogue/NBRCMediumDetailServlet?NO=001572",1572)</f>
        <v>1572</v>
      </c>
      <c r="I225" s="35" t="s">
        <v>958</v>
      </c>
      <c r="J225" s="73" t="str">
        <f>HYPERLINK("https://www.nite.go.jp/nbrc/dbrp/dataview?dataId=ANGE0000500031100","ダウンロード")</f>
        <v>ダウンロード</v>
      </c>
    </row>
    <row r="226" spans="1:10" x14ac:dyDescent="0.45">
      <c r="A226" s="70" t="s">
        <v>1181</v>
      </c>
      <c r="B226" s="46" t="s">
        <v>1122</v>
      </c>
      <c r="C226" s="46" t="s">
        <v>989</v>
      </c>
      <c r="D226" s="47" t="s">
        <v>783</v>
      </c>
      <c r="E226" s="47" t="s">
        <v>820</v>
      </c>
      <c r="F226" s="47" t="s">
        <v>764</v>
      </c>
      <c r="G226" s="48">
        <f>HYPERLINK("https://www.nite.go.jp/nbrc/catalogue/NBRCMediumDetailServlet?NO=000253",253)</f>
        <v>253</v>
      </c>
      <c r="H226" s="48">
        <f>HYPERLINK("https://www.nite.go.jp/nbrc/catalogue/NBRCMediumDetailServlet?NO=001572",1572)</f>
        <v>1572</v>
      </c>
      <c r="I226" s="49" t="s">
        <v>958</v>
      </c>
      <c r="J226" s="71" t="str">
        <f t="shared" ref="J226:J228" si="25">HYPERLINK("mailto:rd@nite.go.jp","コチラにお問い合わせ下さい。")</f>
        <v>コチラにお問い合わせ下さい。</v>
      </c>
    </row>
    <row r="227" spans="1:10" x14ac:dyDescent="0.45">
      <c r="A227" s="70" t="s">
        <v>1213</v>
      </c>
      <c r="B227" s="46" t="s">
        <v>1123</v>
      </c>
      <c r="C227" s="46" t="s">
        <v>989</v>
      </c>
      <c r="D227" s="47" t="s">
        <v>783</v>
      </c>
      <c r="E227" s="47" t="s">
        <v>820</v>
      </c>
      <c r="F227" s="47" t="s">
        <v>764</v>
      </c>
      <c r="G227" s="48">
        <f>HYPERLINK("https://www.nite.go.jp/nbrc/catalogue/NBRCMediumDetailServlet?NO=000253",253)</f>
        <v>253</v>
      </c>
      <c r="H227" s="48">
        <f>HYPERLINK("https://www.nite.go.jp/nbrc/catalogue/NBRCMediumDetailServlet?NO=001572",1572)</f>
        <v>1572</v>
      </c>
      <c r="I227" s="49" t="s">
        <v>958</v>
      </c>
      <c r="J227" s="71" t="str">
        <f t="shared" si="25"/>
        <v>コチラにお問い合わせ下さい。</v>
      </c>
    </row>
    <row r="228" spans="1:10" x14ac:dyDescent="0.45">
      <c r="A228" s="70" t="s">
        <v>1214</v>
      </c>
      <c r="B228" s="46" t="s">
        <v>1124</v>
      </c>
      <c r="C228" s="46" t="s">
        <v>988</v>
      </c>
      <c r="D228" s="47" t="s">
        <v>783</v>
      </c>
      <c r="E228" s="47" t="s">
        <v>794</v>
      </c>
      <c r="F228" s="47" t="s">
        <v>897</v>
      </c>
      <c r="G228" s="48">
        <f>HYPERLINK("https://www.nite.go.jp/nbrc/catalogue/NBRCMediumDetailServlet?NO=001574",1574)</f>
        <v>1574</v>
      </c>
      <c r="H228" s="48">
        <f>HYPERLINK("https://www.nite.go.jp/nbrc/catalogue/NBRCMediumDetailServlet?NO=001535",1535)</f>
        <v>1535</v>
      </c>
      <c r="I228" s="49" t="s">
        <v>958</v>
      </c>
      <c r="J228" s="71" t="str">
        <f t="shared" si="25"/>
        <v>コチラにお問い合わせ下さい。</v>
      </c>
    </row>
    <row r="229" spans="1:10" x14ac:dyDescent="0.45">
      <c r="A229" s="75" t="s">
        <v>1259</v>
      </c>
      <c r="B229" s="3" t="s">
        <v>898</v>
      </c>
      <c r="C229" s="3">
        <v>1</v>
      </c>
      <c r="D229" s="3" t="s">
        <v>709</v>
      </c>
      <c r="E229" s="3" t="s">
        <v>794</v>
      </c>
      <c r="F229" s="3" t="s">
        <v>897</v>
      </c>
      <c r="G229" s="44">
        <f>HYPERLINK("https://www.nite.go.jp/nbrc/catalogue/NBRCMediumDetailServlet?NO=001535",1535)</f>
        <v>1535</v>
      </c>
      <c r="H229" s="44"/>
      <c r="I229" s="35" t="s">
        <v>958</v>
      </c>
      <c r="J229" s="73" t="str">
        <f>HYPERLINK("https://www.nite.go.jp/nbrc/dbrp/dataview?dataId=ANGE0000500031101","ダウンロード")</f>
        <v>ダウンロード</v>
      </c>
    </row>
    <row r="230" spans="1:10" x14ac:dyDescent="0.45">
      <c r="A230" s="75" t="s">
        <v>1259</v>
      </c>
      <c r="B230" s="3" t="s">
        <v>899</v>
      </c>
      <c r="C230" s="3">
        <v>1</v>
      </c>
      <c r="D230" s="3" t="s">
        <v>709</v>
      </c>
      <c r="E230" s="3" t="s">
        <v>794</v>
      </c>
      <c r="F230" s="3" t="s">
        <v>897</v>
      </c>
      <c r="G230" s="44">
        <f>HYPERLINK("https://www.nite.go.jp/nbrc/catalogue/NBRCMediumDetailServlet?NO=001535",1535)</f>
        <v>1535</v>
      </c>
      <c r="H230" s="44"/>
      <c r="I230" s="35" t="s">
        <v>958</v>
      </c>
      <c r="J230" s="73" t="str">
        <f>HYPERLINK("https://www.nite.go.jp/nbrc/dbrp/dataview?dataId=ANGE0000500031102","ダウンロード")</f>
        <v>ダウンロード</v>
      </c>
    </row>
    <row r="231" spans="1:10" x14ac:dyDescent="0.45">
      <c r="A231" s="75" t="s">
        <v>1260</v>
      </c>
      <c r="B231" s="3" t="s">
        <v>900</v>
      </c>
      <c r="C231" s="3">
        <v>1</v>
      </c>
      <c r="D231" s="3" t="s">
        <v>709</v>
      </c>
      <c r="E231" s="3" t="s">
        <v>901</v>
      </c>
      <c r="F231" s="34" t="s">
        <v>799</v>
      </c>
      <c r="G231" s="44">
        <f>HYPERLINK("https://www.nite.go.jp/nbrc/catalogue/NBRCMediumDetailServlet?NO=001572",1572)</f>
        <v>1572</v>
      </c>
      <c r="H231" s="44">
        <f>HYPERLINK("https://www.nite.go.jp/nbrc/catalogue/NBRCMediumDetailServlet?NO=000253",253)</f>
        <v>253</v>
      </c>
      <c r="I231" s="35" t="s">
        <v>958</v>
      </c>
      <c r="J231" s="73" t="str">
        <f>HYPERLINK("https://www.nite.go.jp/nbrc/dbrp/dataview?dataId=ANGE0000500031103","ダウンロード")</f>
        <v>ダウンロード</v>
      </c>
    </row>
    <row r="232" spans="1:10" x14ac:dyDescent="0.45">
      <c r="A232" s="70" t="s">
        <v>1199</v>
      </c>
      <c r="B232" s="46" t="s">
        <v>1125</v>
      </c>
      <c r="C232" s="46" t="s">
        <v>988</v>
      </c>
      <c r="D232" s="47" t="s">
        <v>783</v>
      </c>
      <c r="E232" s="47" t="s">
        <v>862</v>
      </c>
      <c r="F232" s="47" t="s">
        <v>799</v>
      </c>
      <c r="G232" s="48">
        <f>HYPERLINK("https://www.nite.go.jp/nbrc/catalogue/NBRCMediumDetailServlet?NO=001535",1535)</f>
        <v>1535</v>
      </c>
      <c r="H232" s="48">
        <f>HYPERLINK("https://www.nite.go.jp/nbrc/catalogue/NBRCMediumDetailServlet?NO=001574",1574)</f>
        <v>1574</v>
      </c>
      <c r="I232" s="50" t="s">
        <v>780</v>
      </c>
      <c r="J232" s="71" t="str">
        <f t="shared" ref="J232:J233" si="26">HYPERLINK("mailto:rd@nite.go.jp","コチラにお問い合わせ下さい。")</f>
        <v>コチラにお問い合わせ下さい。</v>
      </c>
    </row>
    <row r="233" spans="1:10" x14ac:dyDescent="0.45">
      <c r="A233" s="70" t="s">
        <v>1199</v>
      </c>
      <c r="B233" s="46" t="s">
        <v>1126</v>
      </c>
      <c r="C233" s="46" t="s">
        <v>988</v>
      </c>
      <c r="D233" s="47" t="s">
        <v>783</v>
      </c>
      <c r="E233" s="47" t="s">
        <v>901</v>
      </c>
      <c r="F233" s="47" t="s">
        <v>799</v>
      </c>
      <c r="G233" s="48">
        <f>HYPERLINK("https://www.nite.go.jp/nbrc/catalogue/NBRCMediumDetailServlet?NO=001509",1509)</f>
        <v>1509</v>
      </c>
      <c r="H233" s="48">
        <f>HYPERLINK("https://www.nite.go.jp/nbrc/catalogue/NBRCMediumDetailServlet?NO=001545",1545)</f>
        <v>1545</v>
      </c>
      <c r="I233" s="50" t="s">
        <v>780</v>
      </c>
      <c r="J233" s="71" t="str">
        <f t="shared" si="26"/>
        <v>コチラにお問い合わせ下さい。</v>
      </c>
    </row>
    <row r="234" spans="1:10" x14ac:dyDescent="0.45">
      <c r="A234" s="75" t="s">
        <v>1261</v>
      </c>
      <c r="B234" s="3" t="s">
        <v>902</v>
      </c>
      <c r="C234" s="3">
        <v>1</v>
      </c>
      <c r="D234" s="3" t="s">
        <v>709</v>
      </c>
      <c r="E234" s="3" t="s">
        <v>862</v>
      </c>
      <c r="F234" s="34" t="s">
        <v>799</v>
      </c>
      <c r="G234" s="44">
        <f>HYPERLINK("https://www.nite.go.jp/nbrc/catalogue/NBRCMediumDetailServlet?NO=001572",1572)</f>
        <v>1572</v>
      </c>
      <c r="H234" s="44">
        <f>HYPERLINK("https://www.nite.go.jp/nbrc/catalogue/NBRCMediumDetailServlet?NO=000253",253)</f>
        <v>253</v>
      </c>
      <c r="I234" s="35" t="s">
        <v>958</v>
      </c>
      <c r="J234" s="73" t="str">
        <f>HYPERLINK("https://www.nite.go.jp/nbrc/dbrp/dataview?dataId=ANGE0000500031104","ダウンロード")</f>
        <v>ダウンロード</v>
      </c>
    </row>
    <row r="235" spans="1:10" x14ac:dyDescent="0.45">
      <c r="A235" s="75" t="s">
        <v>1262</v>
      </c>
      <c r="B235" s="3" t="s">
        <v>903</v>
      </c>
      <c r="C235" s="3">
        <v>1</v>
      </c>
      <c r="D235" s="3" t="s">
        <v>709</v>
      </c>
      <c r="E235" s="3" t="s">
        <v>862</v>
      </c>
      <c r="F235" s="34" t="s">
        <v>799</v>
      </c>
      <c r="G235" s="44">
        <f>HYPERLINK("https://www.nite.go.jp/nbrc/catalogue/NBRCMediumDetailServlet?NO=001509",1509)</f>
        <v>1509</v>
      </c>
      <c r="H235" s="44">
        <f>HYPERLINK("https://www.nite.go.jp/nbrc/catalogue/NBRCMediumDetailServlet?NO=001545",1545)</f>
        <v>1545</v>
      </c>
      <c r="I235" s="34" t="s">
        <v>780</v>
      </c>
      <c r="J235" s="73" t="str">
        <f>HYPERLINK("https://www.nite.go.jp/nbrc/dbrp/dataview?dataId=ANGE0000500031105","ダウンロード")</f>
        <v>ダウンロード</v>
      </c>
    </row>
    <row r="236" spans="1:10" x14ac:dyDescent="0.45">
      <c r="A236" s="70" t="s">
        <v>1183</v>
      </c>
      <c r="B236" s="46" t="s">
        <v>1127</v>
      </c>
      <c r="C236" s="46" t="s">
        <v>988</v>
      </c>
      <c r="D236" s="47" t="s">
        <v>783</v>
      </c>
      <c r="E236" s="47" t="s">
        <v>820</v>
      </c>
      <c r="F236" s="47" t="s">
        <v>764</v>
      </c>
      <c r="G236" s="48">
        <f>HYPERLINK("https://www.nite.go.jp/nbrc/catalogue/NBRCMediumDetailServlet?NO=001574",1574)</f>
        <v>1574</v>
      </c>
      <c r="H236" s="48">
        <f>HYPERLINK("https://www.nite.go.jp/nbrc/catalogue/NBRCMediumDetailServlet?NO=001535",1535)</f>
        <v>1535</v>
      </c>
      <c r="I236" s="49" t="s">
        <v>958</v>
      </c>
      <c r="J236" s="71" t="str">
        <f t="shared" ref="J236:J258" si="27">HYPERLINK("mailto:rd@nite.go.jp","コチラにお問い合わせ下さい。")</f>
        <v>コチラにお問い合わせ下さい。</v>
      </c>
    </row>
    <row r="237" spans="1:10" x14ac:dyDescent="0.45">
      <c r="A237" s="70" t="s">
        <v>1183</v>
      </c>
      <c r="B237" s="46" t="s">
        <v>1128</v>
      </c>
      <c r="C237" s="46" t="s">
        <v>989</v>
      </c>
      <c r="D237" s="47" t="s">
        <v>783</v>
      </c>
      <c r="E237" s="47" t="s">
        <v>826</v>
      </c>
      <c r="F237" s="47" t="s">
        <v>764</v>
      </c>
      <c r="G237" s="48">
        <f>HYPERLINK("https://www.nite.go.jp/nbrc/catalogue/NBRCMediumDetailServlet?NO=001545",1545)</f>
        <v>1545</v>
      </c>
      <c r="H237" s="48">
        <f>HYPERLINK("https://www.nite.go.jp/nbrc/catalogue/NBRCMediumDetailServlet?NO=001509",1509)</f>
        <v>1509</v>
      </c>
      <c r="I237" s="49" t="s">
        <v>958</v>
      </c>
      <c r="J237" s="71" t="str">
        <f t="shared" si="27"/>
        <v>コチラにお問い合わせ下さい。</v>
      </c>
    </row>
    <row r="238" spans="1:10" x14ac:dyDescent="0.45">
      <c r="A238" s="70" t="s">
        <v>1183</v>
      </c>
      <c r="B238" s="46" t="s">
        <v>1129</v>
      </c>
      <c r="C238" s="46" t="s">
        <v>988</v>
      </c>
      <c r="D238" s="47" t="s">
        <v>783</v>
      </c>
      <c r="E238" s="47" t="s">
        <v>826</v>
      </c>
      <c r="F238" s="47" t="s">
        <v>764</v>
      </c>
      <c r="G238" s="48">
        <f>HYPERLINK("https://www.nite.go.jp/nbrc/catalogue/NBRCMediumDetailServlet?NO=001574",1574)</f>
        <v>1574</v>
      </c>
      <c r="H238" s="48">
        <f>HYPERLINK("https://www.nite.go.jp/nbrc/catalogue/NBRCMediumDetailServlet?NO=001535",1535)</f>
        <v>1535</v>
      </c>
      <c r="I238" s="49" t="s">
        <v>958</v>
      </c>
      <c r="J238" s="71" t="str">
        <f t="shared" si="27"/>
        <v>コチラにお問い合わせ下さい。</v>
      </c>
    </row>
    <row r="239" spans="1:10" x14ac:dyDescent="0.45">
      <c r="A239" s="70" t="s">
        <v>1215</v>
      </c>
      <c r="B239" s="46" t="s">
        <v>1130</v>
      </c>
      <c r="C239" s="46" t="s">
        <v>988</v>
      </c>
      <c r="D239" s="47" t="s">
        <v>783</v>
      </c>
      <c r="E239" s="47" t="s">
        <v>820</v>
      </c>
      <c r="F239" s="47" t="s">
        <v>764</v>
      </c>
      <c r="G239" s="48">
        <f>HYPERLINK("https://www.nite.go.jp/nbrc/catalogue/NBRCMediumDetailServlet?NO=001572",1572)</f>
        <v>1572</v>
      </c>
      <c r="H239" s="48">
        <f>HYPERLINK("https://www.nite.go.jp/nbrc/catalogue/NBRCMediumDetailServlet?NO=000253",253)</f>
        <v>253</v>
      </c>
      <c r="I239" s="49" t="s">
        <v>958</v>
      </c>
      <c r="J239" s="71" t="str">
        <f t="shared" si="27"/>
        <v>コチラにお問い合わせ下さい。</v>
      </c>
    </row>
    <row r="240" spans="1:10" x14ac:dyDescent="0.45">
      <c r="A240" s="70" t="s">
        <v>1186</v>
      </c>
      <c r="B240" s="46" t="s">
        <v>1131</v>
      </c>
      <c r="C240" s="46" t="s">
        <v>988</v>
      </c>
      <c r="D240" s="47" t="s">
        <v>783</v>
      </c>
      <c r="E240" s="47" t="s">
        <v>820</v>
      </c>
      <c r="F240" s="47" t="s">
        <v>764</v>
      </c>
      <c r="G240" s="48">
        <f>HYPERLINK("https://www.nite.go.jp/nbrc/catalogue/NBRCMediumDetailServlet?NO=001574",1574)</f>
        <v>1574</v>
      </c>
      <c r="H240" s="48">
        <f>HYPERLINK("https://www.nite.go.jp/nbrc/catalogue/NBRCMediumDetailServlet?NO=001535",1535)</f>
        <v>1535</v>
      </c>
      <c r="I240" s="49" t="s">
        <v>958</v>
      </c>
      <c r="J240" s="71" t="str">
        <f t="shared" si="27"/>
        <v>コチラにお問い合わせ下さい。</v>
      </c>
    </row>
    <row r="241" spans="1:10" x14ac:dyDescent="0.45">
      <c r="A241" s="70" t="s">
        <v>1192</v>
      </c>
      <c r="B241" s="46" t="s">
        <v>1132</v>
      </c>
      <c r="C241" s="46" t="s">
        <v>988</v>
      </c>
      <c r="D241" s="47" t="s">
        <v>783</v>
      </c>
      <c r="E241" s="47" t="s">
        <v>807</v>
      </c>
      <c r="F241" s="47" t="s">
        <v>764</v>
      </c>
      <c r="G241" s="48">
        <f>HYPERLINK("https://www.nite.go.jp/nbrc/catalogue/NBRCMediumDetailServlet?NO=001574",1574)</f>
        <v>1574</v>
      </c>
      <c r="H241" s="48">
        <f>HYPERLINK("https://www.nite.go.jp/nbrc/catalogue/NBRCMediumDetailServlet?NO=001535",1535)</f>
        <v>1535</v>
      </c>
      <c r="I241" s="49" t="s">
        <v>958</v>
      </c>
      <c r="J241" s="71" t="str">
        <f t="shared" si="27"/>
        <v>コチラにお問い合わせ下さい。</v>
      </c>
    </row>
    <row r="242" spans="1:10" x14ac:dyDescent="0.45">
      <c r="A242" s="70" t="s">
        <v>1186</v>
      </c>
      <c r="B242" s="46" t="s">
        <v>1133</v>
      </c>
      <c r="C242" s="46" t="s">
        <v>989</v>
      </c>
      <c r="D242" s="47" t="s">
        <v>783</v>
      </c>
      <c r="E242" s="47" t="s">
        <v>820</v>
      </c>
      <c r="F242" s="47" t="s">
        <v>764</v>
      </c>
      <c r="G242" s="48">
        <f>HYPERLINK("https://www.nite.go.jp/nbrc/catalogue/NBRCMediumDetailServlet?NO=001574",1574)</f>
        <v>1574</v>
      </c>
      <c r="H242" s="48">
        <f>HYPERLINK("https://www.nite.go.jp/nbrc/catalogue/NBRCMediumDetailServlet?NO=001535",1535)</f>
        <v>1535</v>
      </c>
      <c r="I242" s="49" t="s">
        <v>958</v>
      </c>
      <c r="J242" s="71" t="str">
        <f t="shared" si="27"/>
        <v>コチラにお問い合わせ下さい。</v>
      </c>
    </row>
    <row r="243" spans="1:10" x14ac:dyDescent="0.45">
      <c r="A243" s="70" t="s">
        <v>1186</v>
      </c>
      <c r="B243" s="46" t="s">
        <v>1134</v>
      </c>
      <c r="C243" s="46" t="s">
        <v>988</v>
      </c>
      <c r="D243" s="47" t="s">
        <v>783</v>
      </c>
      <c r="E243" s="47" t="s">
        <v>820</v>
      </c>
      <c r="F243" s="47" t="s">
        <v>764</v>
      </c>
      <c r="G243" s="48">
        <f>HYPERLINK("https://www.nite.go.jp/nbrc/catalogue/NBRCMediumDetailServlet?NO=001574",1574)</f>
        <v>1574</v>
      </c>
      <c r="H243" s="48">
        <f>HYPERLINK("https://www.nite.go.jp/nbrc/catalogue/NBRCMediumDetailServlet?NO=001535",1535)</f>
        <v>1535</v>
      </c>
      <c r="I243" s="49" t="s">
        <v>958</v>
      </c>
      <c r="J243" s="71" t="str">
        <f t="shared" si="27"/>
        <v>コチラにお問い合わせ下さい。</v>
      </c>
    </row>
    <row r="244" spans="1:10" x14ac:dyDescent="0.45">
      <c r="A244" s="70" t="s">
        <v>1216</v>
      </c>
      <c r="B244" s="46" t="s">
        <v>1135</v>
      </c>
      <c r="C244" s="46" t="s">
        <v>988</v>
      </c>
      <c r="D244" s="47" t="s">
        <v>783</v>
      </c>
      <c r="E244" s="47" t="s">
        <v>807</v>
      </c>
      <c r="F244" s="47" t="s">
        <v>764</v>
      </c>
      <c r="G244" s="48">
        <f>HYPERLINK("https://www.nite.go.jp/nbrc/catalogue/NBRCMediumDetailServlet?NO=001574",1574)</f>
        <v>1574</v>
      </c>
      <c r="H244" s="48">
        <f>HYPERLINK("https://www.nite.go.jp/nbrc/catalogue/NBRCMediumDetailServlet?NO=001535",1535)</f>
        <v>1535</v>
      </c>
      <c r="I244" s="49" t="s">
        <v>958</v>
      </c>
      <c r="J244" s="71" t="str">
        <f t="shared" si="27"/>
        <v>コチラにお問い合わせ下さい。</v>
      </c>
    </row>
    <row r="245" spans="1:10" x14ac:dyDescent="0.45">
      <c r="A245" s="70" t="s">
        <v>1212</v>
      </c>
      <c r="B245" s="46" t="s">
        <v>1136</v>
      </c>
      <c r="C245" s="46" t="s">
        <v>988</v>
      </c>
      <c r="D245" s="47" t="s">
        <v>783</v>
      </c>
      <c r="E245" s="47" t="s">
        <v>820</v>
      </c>
      <c r="F245" s="47" t="s">
        <v>764</v>
      </c>
      <c r="G245" s="48">
        <f>HYPERLINK("https://www.nite.go.jp/nbrc/catalogue/NBRCMediumDetailServlet?NO=001572",1572)</f>
        <v>1572</v>
      </c>
      <c r="H245" s="48"/>
      <c r="I245" s="49" t="s">
        <v>958</v>
      </c>
      <c r="J245" s="71" t="str">
        <f t="shared" si="27"/>
        <v>コチラにお問い合わせ下さい。</v>
      </c>
    </row>
    <row r="246" spans="1:10" x14ac:dyDescent="0.45">
      <c r="A246" s="70" t="s">
        <v>1217</v>
      </c>
      <c r="B246" s="46" t="s">
        <v>1137</v>
      </c>
      <c r="C246" s="46" t="s">
        <v>989</v>
      </c>
      <c r="D246" s="47" t="s">
        <v>783</v>
      </c>
      <c r="E246" s="47" t="s">
        <v>809</v>
      </c>
      <c r="F246" s="47" t="s">
        <v>764</v>
      </c>
      <c r="G246" s="48">
        <f>HYPERLINK("https://www.nite.go.jp/nbrc/catalogue/NBRCMediumDetailServlet?NO=001574",1574)</f>
        <v>1574</v>
      </c>
      <c r="H246" s="48">
        <f>HYPERLINK("https://www.nite.go.jp/nbrc/catalogue/NBRCMediumDetailServlet?NO=001535",1535)</f>
        <v>1535</v>
      </c>
      <c r="I246" s="49" t="s">
        <v>958</v>
      </c>
      <c r="J246" s="71" t="str">
        <f t="shared" si="27"/>
        <v>コチラにお問い合わせ下さい。</v>
      </c>
    </row>
    <row r="247" spans="1:10" x14ac:dyDescent="0.45">
      <c r="A247" s="70" t="s">
        <v>1218</v>
      </c>
      <c r="B247" s="46" t="s">
        <v>1138</v>
      </c>
      <c r="C247" s="46" t="s">
        <v>988</v>
      </c>
      <c r="D247" s="47" t="s">
        <v>783</v>
      </c>
      <c r="E247" s="47" t="s">
        <v>820</v>
      </c>
      <c r="F247" s="47" t="s">
        <v>764</v>
      </c>
      <c r="G247" s="48">
        <f>HYPERLINK("https://www.nite.go.jp/nbrc/catalogue/NBRCMediumDetailServlet?NO=000253",253)</f>
        <v>253</v>
      </c>
      <c r="H247" s="48">
        <f>HYPERLINK("https://www.nite.go.jp/nbrc/catalogue/NBRCMediumDetailServlet?NO=001572",1572)</f>
        <v>1572</v>
      </c>
      <c r="I247" s="49" t="s">
        <v>958</v>
      </c>
      <c r="J247" s="71" t="str">
        <f t="shared" si="27"/>
        <v>コチラにお問い合わせ下さい。</v>
      </c>
    </row>
    <row r="248" spans="1:10" x14ac:dyDescent="0.45">
      <c r="A248" s="70" t="s">
        <v>1180</v>
      </c>
      <c r="B248" s="46" t="s">
        <v>1139</v>
      </c>
      <c r="C248" s="46" t="s">
        <v>989</v>
      </c>
      <c r="D248" s="47" t="s">
        <v>783</v>
      </c>
      <c r="E248" s="47" t="s">
        <v>826</v>
      </c>
      <c r="F248" s="47" t="s">
        <v>764</v>
      </c>
      <c r="G248" s="48">
        <f>HYPERLINK("https://www.nite.go.jp/nbrc/catalogue/NBRCMediumDetailServlet?NO=001574",1574)</f>
        <v>1574</v>
      </c>
      <c r="H248" s="48">
        <f>HYPERLINK("https://www.nite.go.jp/nbrc/catalogue/NBRCMediumDetailServlet?NO=001535",1535)</f>
        <v>1535</v>
      </c>
      <c r="I248" s="49" t="s">
        <v>958</v>
      </c>
      <c r="J248" s="71" t="str">
        <f t="shared" si="27"/>
        <v>コチラにお問い合わせ下さい。</v>
      </c>
    </row>
    <row r="249" spans="1:10" x14ac:dyDescent="0.45">
      <c r="A249" s="70" t="s">
        <v>1200</v>
      </c>
      <c r="B249" s="46" t="s">
        <v>1140</v>
      </c>
      <c r="C249" s="46" t="s">
        <v>988</v>
      </c>
      <c r="D249" s="47" t="s">
        <v>990</v>
      </c>
      <c r="E249" s="47" t="s">
        <v>794</v>
      </c>
      <c r="F249" s="47" t="s">
        <v>897</v>
      </c>
      <c r="G249" s="48">
        <f>HYPERLINK("https://www.nite.go.jp/nbrc/catalogue/NBRCMediumDetailServlet?NO=001535",1535)</f>
        <v>1535</v>
      </c>
      <c r="H249" s="48"/>
      <c r="I249" s="49" t="s">
        <v>958</v>
      </c>
      <c r="J249" s="71" t="str">
        <f t="shared" si="27"/>
        <v>コチラにお問い合わせ下さい。</v>
      </c>
    </row>
    <row r="250" spans="1:10" x14ac:dyDescent="0.45">
      <c r="A250" s="70" t="s">
        <v>1219</v>
      </c>
      <c r="B250" s="46" t="s">
        <v>1141</v>
      </c>
      <c r="C250" s="46" t="s">
        <v>988</v>
      </c>
      <c r="D250" s="47" t="s">
        <v>965</v>
      </c>
      <c r="E250" s="47" t="s">
        <v>862</v>
      </c>
      <c r="F250" s="47" t="s">
        <v>799</v>
      </c>
      <c r="G250" s="48">
        <f>HYPERLINK("https://www.nite.go.jp/nbrc/catalogue/NBRCMediumDetailServlet?NO=001509",1509)</f>
        <v>1509</v>
      </c>
      <c r="H250" s="48">
        <f>HYPERLINK("https://www.nite.go.jp/nbrc/catalogue/NBRCMediumDetailServlet?NO=001545",1545)</f>
        <v>1545</v>
      </c>
      <c r="I250" s="49" t="s">
        <v>958</v>
      </c>
      <c r="J250" s="71" t="str">
        <f t="shared" si="27"/>
        <v>コチラにお問い合わせ下さい。</v>
      </c>
    </row>
    <row r="251" spans="1:10" x14ac:dyDescent="0.45">
      <c r="A251" s="70" t="s">
        <v>1216</v>
      </c>
      <c r="B251" s="46" t="s">
        <v>1142</v>
      </c>
      <c r="C251" s="46" t="s">
        <v>988</v>
      </c>
      <c r="D251" s="47" t="s">
        <v>783</v>
      </c>
      <c r="E251" s="47" t="s">
        <v>901</v>
      </c>
      <c r="F251" s="47" t="s">
        <v>799</v>
      </c>
      <c r="G251" s="48">
        <f>HYPERLINK("https://www.nite.go.jp/nbrc/catalogue/NBRCMediumDetailServlet?NO=001574",1574)</f>
        <v>1574</v>
      </c>
      <c r="H251" s="48">
        <f>HYPERLINK("https://www.nite.go.jp/nbrc/catalogue/NBRCMediumDetailServlet?NO=001535",1535)</f>
        <v>1535</v>
      </c>
      <c r="I251" s="49" t="s">
        <v>958</v>
      </c>
      <c r="J251" s="71" t="str">
        <f t="shared" si="27"/>
        <v>コチラにお問い合わせ下さい。</v>
      </c>
    </row>
    <row r="252" spans="1:10" x14ac:dyDescent="0.45">
      <c r="A252" s="70" t="s">
        <v>1199</v>
      </c>
      <c r="B252" s="46" t="s">
        <v>1143</v>
      </c>
      <c r="C252" s="46" t="s">
        <v>988</v>
      </c>
      <c r="D252" s="47" t="s">
        <v>783</v>
      </c>
      <c r="E252" s="47" t="s">
        <v>901</v>
      </c>
      <c r="F252" s="47" t="s">
        <v>799</v>
      </c>
      <c r="G252" s="48">
        <f>HYPERLINK("https://www.nite.go.jp/nbrc/catalogue/NBRCMediumDetailServlet?NO=001509",1509)</f>
        <v>1509</v>
      </c>
      <c r="H252" s="48">
        <f>HYPERLINK("https://www.nite.go.jp/nbrc/catalogue/NBRCMediumDetailServlet?NO=001545",1545)</f>
        <v>1545</v>
      </c>
      <c r="I252" s="50" t="s">
        <v>780</v>
      </c>
      <c r="J252" s="71" t="str">
        <f t="shared" si="27"/>
        <v>コチラにお問い合わせ下さい。</v>
      </c>
    </row>
    <row r="253" spans="1:10" x14ac:dyDescent="0.45">
      <c r="A253" s="76" t="s">
        <v>1227</v>
      </c>
      <c r="B253" s="46" t="s">
        <v>1144</v>
      </c>
      <c r="C253" s="46" t="s">
        <v>988</v>
      </c>
      <c r="D253" s="47" t="s">
        <v>783</v>
      </c>
      <c r="E253" s="47" t="s">
        <v>862</v>
      </c>
      <c r="F253" s="47" t="s">
        <v>799</v>
      </c>
      <c r="G253" s="48">
        <f>HYPERLINK("https://www.nite.go.jp/nbrc/catalogue/NBRCMediumDetailServlet?NO=001535",1535)</f>
        <v>1535</v>
      </c>
      <c r="H253" s="48"/>
      <c r="I253" s="49" t="s">
        <v>958</v>
      </c>
      <c r="J253" s="71" t="str">
        <f t="shared" si="27"/>
        <v>コチラにお問い合わせ下さい。</v>
      </c>
    </row>
    <row r="254" spans="1:10" x14ac:dyDescent="0.45">
      <c r="A254" s="76" t="s">
        <v>1227</v>
      </c>
      <c r="B254" s="46" t="s">
        <v>1145</v>
      </c>
      <c r="C254" s="46" t="s">
        <v>988</v>
      </c>
      <c r="D254" s="47" t="s">
        <v>783</v>
      </c>
      <c r="E254" s="47" t="s">
        <v>901</v>
      </c>
      <c r="F254" s="47" t="s">
        <v>799</v>
      </c>
      <c r="G254" s="48">
        <f>HYPERLINK("https://www.nite.go.jp/nbrc/catalogue/NBRCMediumDetailServlet?NO=001574",1574)</f>
        <v>1574</v>
      </c>
      <c r="H254" s="48">
        <f>HYPERLINK("https://www.nite.go.jp/nbrc/catalogue/NBRCMediumDetailServlet?NO=001535",1535)</f>
        <v>1535</v>
      </c>
      <c r="I254" s="49" t="s">
        <v>958</v>
      </c>
      <c r="J254" s="71" t="str">
        <f t="shared" si="27"/>
        <v>コチラにお問い合わせ下さい。</v>
      </c>
    </row>
    <row r="255" spans="1:10" x14ac:dyDescent="0.45">
      <c r="A255" s="76" t="s">
        <v>1227</v>
      </c>
      <c r="B255" s="46" t="s">
        <v>1146</v>
      </c>
      <c r="C255" s="46" t="s">
        <v>988</v>
      </c>
      <c r="D255" s="47" t="s">
        <v>783</v>
      </c>
      <c r="E255" s="47" t="s">
        <v>901</v>
      </c>
      <c r="F255" s="47" t="s">
        <v>799</v>
      </c>
      <c r="G255" s="48">
        <f>HYPERLINK("https://www.nite.go.jp/nbrc/catalogue/NBRCMediumDetailServlet?NO=001535",1535)</f>
        <v>1535</v>
      </c>
      <c r="H255" s="48">
        <f>HYPERLINK("https://www.nite.go.jp/nbrc/catalogue/NBRCMediumDetailServlet?NO=001574",1574)</f>
        <v>1574</v>
      </c>
      <c r="I255" s="49" t="s">
        <v>958</v>
      </c>
      <c r="J255" s="71" t="str">
        <f t="shared" si="27"/>
        <v>コチラにお問い合わせ下さい。</v>
      </c>
    </row>
    <row r="256" spans="1:10" x14ac:dyDescent="0.45">
      <c r="A256" s="70" t="s">
        <v>1220</v>
      </c>
      <c r="B256" s="46" t="s">
        <v>1147</v>
      </c>
      <c r="C256" s="46" t="s">
        <v>988</v>
      </c>
      <c r="D256" s="47" t="s">
        <v>783</v>
      </c>
      <c r="E256" s="47" t="s">
        <v>862</v>
      </c>
      <c r="F256" s="47" t="s">
        <v>799</v>
      </c>
      <c r="G256" s="48">
        <f>HYPERLINK("https://www.nite.go.jp/nbrc/catalogue/NBRCMediumDetailServlet?NO=000253",253)</f>
        <v>253</v>
      </c>
      <c r="H256" s="48">
        <f>HYPERLINK("https://www.nite.go.jp/nbrc/catalogue/NBRCMediumDetailServlet?NO=001572",1572)</f>
        <v>1572</v>
      </c>
      <c r="I256" s="49" t="s">
        <v>958</v>
      </c>
      <c r="J256" s="71" t="str">
        <f t="shared" si="27"/>
        <v>コチラにお問い合わせ下さい。</v>
      </c>
    </row>
    <row r="257" spans="1:10" x14ac:dyDescent="0.45">
      <c r="A257" s="70" t="s">
        <v>1206</v>
      </c>
      <c r="B257" s="46" t="s">
        <v>1148</v>
      </c>
      <c r="C257" s="46" t="s">
        <v>988</v>
      </c>
      <c r="D257" s="47" t="s">
        <v>990</v>
      </c>
      <c r="E257" s="47" t="s">
        <v>901</v>
      </c>
      <c r="F257" s="47" t="s">
        <v>799</v>
      </c>
      <c r="G257" s="48">
        <f>HYPERLINK("https://www.nite.go.jp/nbrc/catalogue/NBRCMediumDetailServlet?NO=001535",1535)</f>
        <v>1535</v>
      </c>
      <c r="H257" s="48">
        <f>HYPERLINK("https://www.nite.go.jp/nbrc/catalogue/NBRCMediumDetailServlet?NO=001574",1574)</f>
        <v>1574</v>
      </c>
      <c r="I257" s="50" t="s">
        <v>780</v>
      </c>
      <c r="J257" s="71" t="str">
        <f t="shared" si="27"/>
        <v>コチラにお問い合わせ下さい。</v>
      </c>
    </row>
    <row r="258" spans="1:10" x14ac:dyDescent="0.45">
      <c r="A258" s="70" t="s">
        <v>1218</v>
      </c>
      <c r="B258" s="46" t="s">
        <v>1149</v>
      </c>
      <c r="C258" s="46" t="s">
        <v>988</v>
      </c>
      <c r="D258" s="47" t="s">
        <v>783</v>
      </c>
      <c r="E258" s="47" t="s">
        <v>901</v>
      </c>
      <c r="F258" s="47" t="s">
        <v>799</v>
      </c>
      <c r="G258" s="48">
        <f>HYPERLINK("https://www.nite.go.jp/nbrc/catalogue/NBRCMediumDetailServlet?NO=001572",1572)</f>
        <v>1572</v>
      </c>
      <c r="H258" s="48">
        <f>HYPERLINK("https://www.nite.go.jp/nbrc/catalogue/NBRCMediumDetailServlet?NO=000253",253)</f>
        <v>253</v>
      </c>
      <c r="I258" s="49" t="s">
        <v>958</v>
      </c>
      <c r="J258" s="71" t="str">
        <f t="shared" si="27"/>
        <v>コチラにお問い合わせ下さい。</v>
      </c>
    </row>
    <row r="259" spans="1:10" x14ac:dyDescent="0.45">
      <c r="A259" s="75" t="s">
        <v>1207</v>
      </c>
      <c r="B259" s="3" t="s">
        <v>957</v>
      </c>
      <c r="C259" s="3">
        <v>1</v>
      </c>
      <c r="D259" s="3" t="s">
        <v>783</v>
      </c>
      <c r="E259" s="3" t="s">
        <v>809</v>
      </c>
      <c r="F259" s="35" t="s">
        <v>764</v>
      </c>
      <c r="G259" s="44">
        <f>HYPERLINK("https://www.nite.go.jp/nbrc/catalogue/NBRCMediumDetailServlet?NO=001574",1574)</f>
        <v>1574</v>
      </c>
      <c r="H259" s="44"/>
      <c r="I259" s="35" t="s">
        <v>958</v>
      </c>
      <c r="J259" s="73" t="str">
        <f>HYPERLINK("https://www.nite.go.jp/nbrc/dbrp/dataview?dataId=ANGE0000500031289","ダウンロード")</f>
        <v>ダウンロード</v>
      </c>
    </row>
    <row r="260" spans="1:10" x14ac:dyDescent="0.45">
      <c r="A260" s="75" t="s">
        <v>1215</v>
      </c>
      <c r="B260" s="3" t="s">
        <v>959</v>
      </c>
      <c r="C260" s="3">
        <v>1</v>
      </c>
      <c r="D260" s="3" t="s">
        <v>783</v>
      </c>
      <c r="E260" s="3" t="s">
        <v>820</v>
      </c>
      <c r="F260" s="35" t="s">
        <v>764</v>
      </c>
      <c r="G260" s="44">
        <f>HYPERLINK("https://www.nite.go.jp/nbrc/catalogue/NBRCMediumDetailServlet?NO=001574",1574)</f>
        <v>1574</v>
      </c>
      <c r="H260" s="44"/>
      <c r="I260" s="35" t="s">
        <v>958</v>
      </c>
      <c r="J260" s="73" t="str">
        <f>HYPERLINK("https://www.nite.go.jp/nbrc/dbrp/dataview?dataId=ANGE0000500031290","ダウンロード")</f>
        <v>ダウンロード</v>
      </c>
    </row>
    <row r="261" spans="1:10" x14ac:dyDescent="0.45">
      <c r="A261" s="75" t="s">
        <v>1263</v>
      </c>
      <c r="B261" s="3" t="s">
        <v>960</v>
      </c>
      <c r="C261" s="3">
        <v>1</v>
      </c>
      <c r="D261" s="3" t="s">
        <v>783</v>
      </c>
      <c r="E261" s="3" t="s">
        <v>826</v>
      </c>
      <c r="F261" s="35" t="s">
        <v>764</v>
      </c>
      <c r="G261" s="44">
        <f>HYPERLINK("https://www.nite.go.jp/nbrc/catalogue/NBRCMediumDetailServlet?NO=001535",1535)</f>
        <v>1535</v>
      </c>
      <c r="H261" s="44"/>
      <c r="I261" s="35" t="s">
        <v>958</v>
      </c>
      <c r="J261" s="73" t="str">
        <f>HYPERLINK("https://www.nite.go.jp/nbrc/dbrp/dataview?dataId=ANGE0000500031291","ダウンロード")</f>
        <v>ダウンロード</v>
      </c>
    </row>
    <row r="262" spans="1:10" x14ac:dyDescent="0.45">
      <c r="A262" s="75" t="s">
        <v>1264</v>
      </c>
      <c r="B262" s="3" t="s">
        <v>961</v>
      </c>
      <c r="C262" s="3">
        <v>1</v>
      </c>
      <c r="D262" s="3" t="s">
        <v>783</v>
      </c>
      <c r="E262" s="3" t="s">
        <v>826</v>
      </c>
      <c r="F262" s="35" t="s">
        <v>764</v>
      </c>
      <c r="G262" s="44">
        <f>HYPERLINK("https://www.nite.go.jp/nbrc/catalogue/NBRCMediumDetailServlet?NO=000802",802)</f>
        <v>802</v>
      </c>
      <c r="H262" s="44"/>
      <c r="I262" s="34" t="s">
        <v>780</v>
      </c>
      <c r="J262" s="73" t="str">
        <f>HYPERLINK("https://www.nite.go.jp/nbrc/dbrp/dataview?dataId=ANGE0000500031292","ダウンロード")</f>
        <v>ダウンロード</v>
      </c>
    </row>
    <row r="263" spans="1:10" x14ac:dyDescent="0.45">
      <c r="A263" s="75" t="s">
        <v>1183</v>
      </c>
      <c r="B263" s="3" t="s">
        <v>962</v>
      </c>
      <c r="C263" s="3">
        <v>1</v>
      </c>
      <c r="D263" s="3" t="s">
        <v>783</v>
      </c>
      <c r="E263" s="3" t="s">
        <v>820</v>
      </c>
      <c r="F263" s="35" t="s">
        <v>764</v>
      </c>
      <c r="G263" s="44">
        <f>HYPERLINK("https://www.nite.go.jp/nbrc/catalogue/NBRCMediumDetailServlet?NO=001574",1574)</f>
        <v>1574</v>
      </c>
      <c r="H263" s="44"/>
      <c r="I263" s="35" t="s">
        <v>958</v>
      </c>
      <c r="J263" s="73" t="str">
        <f>HYPERLINK("https://www.nite.go.jp/nbrc/dbrp/dataview?dataId=ANGE0000500031293","ダウンロード")</f>
        <v>ダウンロード</v>
      </c>
    </row>
    <row r="264" spans="1:10" x14ac:dyDescent="0.45">
      <c r="A264" s="70" t="s">
        <v>1183</v>
      </c>
      <c r="B264" s="46" t="s">
        <v>1150</v>
      </c>
      <c r="C264" s="46" t="s">
        <v>988</v>
      </c>
      <c r="D264" s="47" t="s">
        <v>783</v>
      </c>
      <c r="E264" s="47" t="s">
        <v>826</v>
      </c>
      <c r="F264" s="47" t="s">
        <v>764</v>
      </c>
      <c r="G264" s="48">
        <f>HYPERLINK("https://www.nite.go.jp/nbrc/catalogue/NBRCMediumDetailServlet?NO=001574",1574)</f>
        <v>1574</v>
      </c>
      <c r="H264" s="48"/>
      <c r="I264" s="49" t="s">
        <v>958</v>
      </c>
      <c r="J264" s="71" t="str">
        <f>HYPERLINK("mailto:rd@nite.go.jp","コチラにお問い合わせ下さい。")</f>
        <v>コチラにお問い合わせ下さい。</v>
      </c>
    </row>
    <row r="265" spans="1:10" x14ac:dyDescent="0.45">
      <c r="A265" s="75" t="s">
        <v>1183</v>
      </c>
      <c r="B265" s="3" t="s">
        <v>963</v>
      </c>
      <c r="C265" s="3">
        <v>1</v>
      </c>
      <c r="D265" s="3" t="s">
        <v>783</v>
      </c>
      <c r="E265" s="3" t="s">
        <v>807</v>
      </c>
      <c r="F265" s="35" t="s">
        <v>764</v>
      </c>
      <c r="G265" s="44">
        <f>HYPERLINK("https://www.nite.go.jp/nbrc/catalogue/NBRCMediumDetailServlet?NO=001574",1574)</f>
        <v>1574</v>
      </c>
      <c r="H265" s="44"/>
      <c r="I265" s="35" t="s">
        <v>958</v>
      </c>
      <c r="J265" s="73" t="str">
        <f>HYPERLINK("https://www.nite.go.jp/nbrc/dbrp/dataview?dataId=ANGE0000500031294","ダウンロード")</f>
        <v>ダウンロード</v>
      </c>
    </row>
    <row r="266" spans="1:10" x14ac:dyDescent="0.45">
      <c r="A266" s="70" t="s">
        <v>1183</v>
      </c>
      <c r="B266" s="46" t="s">
        <v>1151</v>
      </c>
      <c r="C266" s="46" t="s">
        <v>988</v>
      </c>
      <c r="D266" s="47" t="s">
        <v>783</v>
      </c>
      <c r="E266" s="47" t="s">
        <v>807</v>
      </c>
      <c r="F266" s="47" t="s">
        <v>764</v>
      </c>
      <c r="G266" s="48">
        <f>HYPERLINK("https://www.nite.go.jp/nbrc/catalogue/NBRCMediumDetailServlet?NO=001574",1574)</f>
        <v>1574</v>
      </c>
      <c r="H266" s="48"/>
      <c r="I266" s="49" t="s">
        <v>958</v>
      </c>
      <c r="J266" s="71" t="str">
        <f t="shared" ref="J266:J267" si="28">HYPERLINK("mailto:rd@nite.go.jp","コチラにお問い合わせ下さい。")</f>
        <v>コチラにお問い合わせ下さい。</v>
      </c>
    </row>
    <row r="267" spans="1:10" x14ac:dyDescent="0.45">
      <c r="A267" s="70" t="s">
        <v>1183</v>
      </c>
      <c r="B267" s="46" t="s">
        <v>1152</v>
      </c>
      <c r="C267" s="46" t="s">
        <v>988</v>
      </c>
      <c r="D267" s="47" t="s">
        <v>783</v>
      </c>
      <c r="E267" s="47" t="s">
        <v>809</v>
      </c>
      <c r="F267" s="47" t="s">
        <v>764</v>
      </c>
      <c r="G267" s="48">
        <f>HYPERLINK("https://www.nite.go.jp/nbrc/catalogue/NBRCMediumDetailServlet?NO=000253",253)</f>
        <v>253</v>
      </c>
      <c r="H267" s="48"/>
      <c r="I267" s="49" t="s">
        <v>958</v>
      </c>
      <c r="J267" s="71" t="str">
        <f t="shared" si="28"/>
        <v>コチラにお問い合わせ下さい。</v>
      </c>
    </row>
    <row r="268" spans="1:10" x14ac:dyDescent="0.45">
      <c r="A268" s="75" t="s">
        <v>1176</v>
      </c>
      <c r="B268" s="3" t="s">
        <v>964</v>
      </c>
      <c r="C268" s="3">
        <v>1</v>
      </c>
      <c r="D268" s="3" t="s">
        <v>965</v>
      </c>
      <c r="E268" s="3" t="s">
        <v>820</v>
      </c>
      <c r="F268" s="35" t="s">
        <v>764</v>
      </c>
      <c r="G268" s="44">
        <f>HYPERLINK("https://www.nite.go.jp/nbrc/catalogue/NBRCMediumDetailServlet?NO=001574",1574)</f>
        <v>1574</v>
      </c>
      <c r="H268" s="44"/>
      <c r="I268" s="35" t="s">
        <v>958</v>
      </c>
      <c r="J268" s="73" t="str">
        <f>HYPERLINK("https://www.nite.go.jp/nbrc/dbrp/dataview?dataId=ANGE0000500031295","ダウンロード")</f>
        <v>ダウンロード</v>
      </c>
    </row>
    <row r="269" spans="1:10" x14ac:dyDescent="0.45">
      <c r="A269" s="75" t="s">
        <v>1189</v>
      </c>
      <c r="B269" s="3" t="s">
        <v>966</v>
      </c>
      <c r="C269" s="3">
        <v>1</v>
      </c>
      <c r="D269" s="3" t="s">
        <v>783</v>
      </c>
      <c r="E269" s="3" t="s">
        <v>826</v>
      </c>
      <c r="F269" s="35" t="s">
        <v>764</v>
      </c>
      <c r="G269" s="44">
        <f>HYPERLINK("https://www.nite.go.jp/nbrc/catalogue/NBRCMediumDetailServlet?NO=001535",1535)</f>
        <v>1535</v>
      </c>
      <c r="H269" s="44"/>
      <c r="I269" s="35" t="s">
        <v>958</v>
      </c>
      <c r="J269" s="73" t="str">
        <f>HYPERLINK("https://www.nite.go.jp/nbrc/dbrp/dataview?dataId=ANGE0000500031296","ダウンロード")</f>
        <v>ダウンロード</v>
      </c>
    </row>
    <row r="270" spans="1:10" x14ac:dyDescent="0.45">
      <c r="A270" s="75" t="s">
        <v>1189</v>
      </c>
      <c r="B270" s="3" t="s">
        <v>967</v>
      </c>
      <c r="C270" s="3">
        <v>1</v>
      </c>
      <c r="D270" s="3" t="s">
        <v>783</v>
      </c>
      <c r="E270" s="3" t="s">
        <v>826</v>
      </c>
      <c r="F270" s="35" t="s">
        <v>764</v>
      </c>
      <c r="G270" s="44">
        <f t="shared" ref="G270:G282" si="29">HYPERLINK("https://www.nite.go.jp/nbrc/catalogue/NBRCMediumDetailServlet?NO=001574",1574)</f>
        <v>1574</v>
      </c>
      <c r="H270" s="44"/>
      <c r="I270" s="35" t="s">
        <v>958</v>
      </c>
      <c r="J270" s="73" t="str">
        <f>HYPERLINK("https://www.nite.go.jp/nbrc/dbrp/dataview?dataId=ANGE0000500031297","ダウンロード")</f>
        <v>ダウンロード</v>
      </c>
    </row>
    <row r="271" spans="1:10" x14ac:dyDescent="0.45">
      <c r="A271" s="70" t="s">
        <v>1217</v>
      </c>
      <c r="B271" s="46" t="s">
        <v>1153</v>
      </c>
      <c r="C271" s="46" t="s">
        <v>989</v>
      </c>
      <c r="D271" s="47" t="s">
        <v>783</v>
      </c>
      <c r="E271" s="47" t="s">
        <v>809</v>
      </c>
      <c r="F271" s="47" t="s">
        <v>764</v>
      </c>
      <c r="G271" s="48">
        <f t="shared" si="29"/>
        <v>1574</v>
      </c>
      <c r="H271" s="48"/>
      <c r="I271" s="49" t="s">
        <v>958</v>
      </c>
      <c r="J271" s="71" t="str">
        <f>HYPERLINK("mailto:rd@nite.go.jp","コチラにお問い合わせ下さい。")</f>
        <v>コチラにお問い合わせ下さい。</v>
      </c>
    </row>
    <row r="272" spans="1:10" x14ac:dyDescent="0.45">
      <c r="A272" s="75" t="s">
        <v>1223</v>
      </c>
      <c r="B272" s="3" t="s">
        <v>968</v>
      </c>
      <c r="C272" s="3">
        <v>1</v>
      </c>
      <c r="D272" s="3" t="s">
        <v>783</v>
      </c>
      <c r="E272" s="3" t="s">
        <v>826</v>
      </c>
      <c r="F272" s="35" t="s">
        <v>764</v>
      </c>
      <c r="G272" s="44">
        <f t="shared" si="29"/>
        <v>1574</v>
      </c>
      <c r="H272" s="44"/>
      <c r="I272" s="35" t="s">
        <v>958</v>
      </c>
      <c r="J272" s="73" t="str">
        <f>HYPERLINK("https://www.nite.go.jp/nbrc/dbrp/dataview?dataId=ANGE0000500031298","ダウンロード")</f>
        <v>ダウンロード</v>
      </c>
    </row>
    <row r="273" spans="1:10" x14ac:dyDescent="0.45">
      <c r="A273" s="75" t="s">
        <v>1223</v>
      </c>
      <c r="B273" s="3" t="s">
        <v>969</v>
      </c>
      <c r="C273" s="3">
        <v>1</v>
      </c>
      <c r="D273" s="3" t="s">
        <v>783</v>
      </c>
      <c r="E273" s="3" t="s">
        <v>807</v>
      </c>
      <c r="F273" s="35" t="s">
        <v>764</v>
      </c>
      <c r="G273" s="44">
        <f t="shared" si="29"/>
        <v>1574</v>
      </c>
      <c r="H273" s="44"/>
      <c r="I273" s="35" t="s">
        <v>958</v>
      </c>
      <c r="J273" s="73" t="str">
        <f>HYPERLINK("https://www.nite.go.jp/nbrc/dbrp/dataview?dataId=ANGE0000500031299","ダウンロード")</f>
        <v>ダウンロード</v>
      </c>
    </row>
    <row r="274" spans="1:10" x14ac:dyDescent="0.45">
      <c r="A274" s="70" t="s">
        <v>1186</v>
      </c>
      <c r="B274" s="46" t="s">
        <v>1154</v>
      </c>
      <c r="C274" s="46" t="s">
        <v>988</v>
      </c>
      <c r="D274" s="47" t="s">
        <v>783</v>
      </c>
      <c r="E274" s="47" t="s">
        <v>807</v>
      </c>
      <c r="F274" s="47" t="s">
        <v>764</v>
      </c>
      <c r="G274" s="48">
        <f t="shared" si="29"/>
        <v>1574</v>
      </c>
      <c r="H274" s="48"/>
      <c r="I274" s="49" t="s">
        <v>958</v>
      </c>
      <c r="J274" s="71" t="str">
        <f t="shared" ref="J274:J275" si="30">HYPERLINK("mailto:rd@nite.go.jp","コチラにお問い合わせ下さい。")</f>
        <v>コチラにお問い合わせ下さい。</v>
      </c>
    </row>
    <row r="275" spans="1:10" x14ac:dyDescent="0.45">
      <c r="A275" s="70" t="s">
        <v>1223</v>
      </c>
      <c r="B275" s="46" t="s">
        <v>1155</v>
      </c>
      <c r="C275" s="46" t="s">
        <v>1175</v>
      </c>
      <c r="D275" s="47" t="s">
        <v>783</v>
      </c>
      <c r="E275" s="47" t="s">
        <v>820</v>
      </c>
      <c r="F275" s="47" t="s">
        <v>764</v>
      </c>
      <c r="G275" s="48">
        <f t="shared" si="29"/>
        <v>1574</v>
      </c>
      <c r="H275" s="48"/>
      <c r="I275" s="49" t="s">
        <v>958</v>
      </c>
      <c r="J275" s="71" t="str">
        <f t="shared" si="30"/>
        <v>コチラにお問い合わせ下さい。</v>
      </c>
    </row>
    <row r="276" spans="1:10" x14ac:dyDescent="0.45">
      <c r="A276" s="75" t="s">
        <v>1223</v>
      </c>
      <c r="B276" s="3" t="s">
        <v>970</v>
      </c>
      <c r="C276" s="3">
        <v>1</v>
      </c>
      <c r="D276" s="3" t="s">
        <v>783</v>
      </c>
      <c r="E276" s="3" t="s">
        <v>809</v>
      </c>
      <c r="F276" s="35" t="s">
        <v>764</v>
      </c>
      <c r="G276" s="44">
        <f t="shared" si="29"/>
        <v>1574</v>
      </c>
      <c r="H276" s="44"/>
      <c r="I276" s="35" t="s">
        <v>958</v>
      </c>
      <c r="J276" s="73" t="str">
        <f>HYPERLINK("https://www.nite.go.jp/nbrc/dbrp/dataview?dataId=ANGE0000500031300","ダウンロード")</f>
        <v>ダウンロード</v>
      </c>
    </row>
    <row r="277" spans="1:10" x14ac:dyDescent="0.45">
      <c r="A277" s="70" t="s">
        <v>1186</v>
      </c>
      <c r="B277" s="46" t="s">
        <v>1156</v>
      </c>
      <c r="C277" s="46" t="s">
        <v>988</v>
      </c>
      <c r="D277" s="47" t="s">
        <v>783</v>
      </c>
      <c r="E277" s="47" t="s">
        <v>809</v>
      </c>
      <c r="F277" s="47" t="s">
        <v>764</v>
      </c>
      <c r="G277" s="48">
        <f t="shared" si="29"/>
        <v>1574</v>
      </c>
      <c r="H277" s="48"/>
      <c r="I277" s="49" t="s">
        <v>958</v>
      </c>
      <c r="J277" s="71" t="str">
        <f t="shared" ref="J277:J278" si="31">HYPERLINK("mailto:rd@nite.go.jp","コチラにお問い合わせ下さい。")</f>
        <v>コチラにお問い合わせ下さい。</v>
      </c>
    </row>
    <row r="278" spans="1:10" x14ac:dyDescent="0.45">
      <c r="A278" s="70" t="s">
        <v>1179</v>
      </c>
      <c r="B278" s="46" t="s">
        <v>1157</v>
      </c>
      <c r="C278" s="46" t="s">
        <v>988</v>
      </c>
      <c r="D278" s="47" t="s">
        <v>783</v>
      </c>
      <c r="E278" s="47" t="s">
        <v>809</v>
      </c>
      <c r="F278" s="47" t="s">
        <v>764</v>
      </c>
      <c r="G278" s="48">
        <f t="shared" si="29"/>
        <v>1574</v>
      </c>
      <c r="H278" s="48"/>
      <c r="I278" s="49" t="s">
        <v>958</v>
      </c>
      <c r="J278" s="71" t="str">
        <f t="shared" si="31"/>
        <v>コチラにお問い合わせ下さい。</v>
      </c>
    </row>
    <row r="279" spans="1:10" x14ac:dyDescent="0.45">
      <c r="A279" s="75" t="s">
        <v>1265</v>
      </c>
      <c r="B279" s="3" t="s">
        <v>971</v>
      </c>
      <c r="C279" s="3">
        <v>1</v>
      </c>
      <c r="D279" s="3" t="s">
        <v>783</v>
      </c>
      <c r="E279" s="3" t="s">
        <v>807</v>
      </c>
      <c r="F279" s="35" t="s">
        <v>764</v>
      </c>
      <c r="G279" s="44">
        <f t="shared" si="29"/>
        <v>1574</v>
      </c>
      <c r="H279" s="44"/>
      <c r="I279" s="35" t="s">
        <v>958</v>
      </c>
      <c r="J279" s="73" t="str">
        <f>HYPERLINK("https://www.nite.go.jp/nbrc/dbrp/dataview?dataId=ANGE0000500031301","ダウンロード")</f>
        <v>ダウンロード</v>
      </c>
    </row>
    <row r="280" spans="1:10" x14ac:dyDescent="0.45">
      <c r="A280" s="70" t="s">
        <v>1180</v>
      </c>
      <c r="B280" s="46" t="s">
        <v>1158</v>
      </c>
      <c r="C280" s="46" t="s">
        <v>988</v>
      </c>
      <c r="D280" s="47" t="s">
        <v>783</v>
      </c>
      <c r="E280" s="47" t="s">
        <v>820</v>
      </c>
      <c r="F280" s="47" t="s">
        <v>764</v>
      </c>
      <c r="G280" s="48">
        <f t="shared" si="29"/>
        <v>1574</v>
      </c>
      <c r="H280" s="48"/>
      <c r="I280" s="49" t="s">
        <v>958</v>
      </c>
      <c r="J280" s="71" t="str">
        <f t="shared" ref="J280:J281" si="32">HYPERLINK("mailto:rd@nite.go.jp","コチラにお問い合わせ下さい。")</f>
        <v>コチラにお問い合わせ下さい。</v>
      </c>
    </row>
    <row r="281" spans="1:10" x14ac:dyDescent="0.45">
      <c r="A281" s="70" t="s">
        <v>1224</v>
      </c>
      <c r="B281" s="46" t="s">
        <v>1159</v>
      </c>
      <c r="C281" s="46" t="s">
        <v>989</v>
      </c>
      <c r="D281" s="47" t="s">
        <v>783</v>
      </c>
      <c r="E281" s="47" t="s">
        <v>809</v>
      </c>
      <c r="F281" s="47" t="s">
        <v>764</v>
      </c>
      <c r="G281" s="48">
        <f t="shared" si="29"/>
        <v>1574</v>
      </c>
      <c r="H281" s="48"/>
      <c r="I281" s="49" t="s">
        <v>958</v>
      </c>
      <c r="J281" s="71" t="str">
        <f t="shared" si="32"/>
        <v>コチラにお問い合わせ下さい。</v>
      </c>
    </row>
    <row r="282" spans="1:10" x14ac:dyDescent="0.45">
      <c r="A282" s="75" t="s">
        <v>1221</v>
      </c>
      <c r="B282" s="3" t="s">
        <v>972</v>
      </c>
      <c r="C282" s="3">
        <v>1</v>
      </c>
      <c r="D282" s="3" t="s">
        <v>783</v>
      </c>
      <c r="E282" s="3" t="s">
        <v>826</v>
      </c>
      <c r="F282" s="35" t="s">
        <v>764</v>
      </c>
      <c r="G282" s="44">
        <f t="shared" si="29"/>
        <v>1574</v>
      </c>
      <c r="H282" s="44"/>
      <c r="I282" s="35" t="s">
        <v>958</v>
      </c>
      <c r="J282" s="73" t="str">
        <f>HYPERLINK("https://www.nite.go.jp/nbrc/dbrp/dataview?dataId=ANGE0000500031302","ダウンロード")</f>
        <v>ダウンロード</v>
      </c>
    </row>
    <row r="283" spans="1:10" x14ac:dyDescent="0.45">
      <c r="A283" s="75" t="s">
        <v>1231</v>
      </c>
      <c r="B283" s="3" t="s">
        <v>974</v>
      </c>
      <c r="C283" s="3">
        <v>1</v>
      </c>
      <c r="D283" s="3" t="s">
        <v>783</v>
      </c>
      <c r="E283" s="3" t="s">
        <v>826</v>
      </c>
      <c r="F283" s="35" t="s">
        <v>764</v>
      </c>
      <c r="G283" s="44">
        <f>HYPERLINK("https://www.nite.go.jp/nbrc/catalogue/NBRCMediumDetailServlet?NO=001535",1535)</f>
        <v>1535</v>
      </c>
      <c r="H283" s="44"/>
      <c r="I283" s="35" t="s">
        <v>958</v>
      </c>
      <c r="J283" s="73" t="str">
        <f>HYPERLINK("https://www.nite.go.jp/nbrc/dbrp/dataview?dataId=ANGE0000500031303","ダウンロード")</f>
        <v>ダウンロード</v>
      </c>
    </row>
    <row r="284" spans="1:10" x14ac:dyDescent="0.45">
      <c r="A284" s="75" t="s">
        <v>1244</v>
      </c>
      <c r="B284" s="3" t="s">
        <v>975</v>
      </c>
      <c r="C284" s="3">
        <v>1</v>
      </c>
      <c r="D284" s="3" t="s">
        <v>783</v>
      </c>
      <c r="E284" s="3" t="s">
        <v>826</v>
      </c>
      <c r="F284" s="35" t="s">
        <v>764</v>
      </c>
      <c r="G284" s="44">
        <f>HYPERLINK("https://www.nite.go.jp/nbrc/catalogue/NBRCMediumDetailServlet?NO=001535",1535)</f>
        <v>1535</v>
      </c>
      <c r="H284" s="44"/>
      <c r="I284" s="35" t="s">
        <v>958</v>
      </c>
      <c r="J284" s="73" t="str">
        <f>HYPERLINK("https://www.nite.go.jp/nbrc/dbrp/dataview?dataId=ANGE0000500031304","ダウンロード")</f>
        <v>ダウンロード</v>
      </c>
    </row>
    <row r="285" spans="1:10" x14ac:dyDescent="0.45">
      <c r="A285" s="75" t="s">
        <v>1244</v>
      </c>
      <c r="B285" s="3" t="s">
        <v>976</v>
      </c>
      <c r="C285" s="3">
        <v>1</v>
      </c>
      <c r="D285" s="3" t="s">
        <v>783</v>
      </c>
      <c r="E285" s="3" t="s">
        <v>807</v>
      </c>
      <c r="F285" s="35" t="s">
        <v>764</v>
      </c>
      <c r="G285" s="44">
        <f>HYPERLINK("https://www.nite.go.jp/nbrc/catalogue/NBRCMediumDetailServlet?NO=001535",1535)</f>
        <v>1535</v>
      </c>
      <c r="H285" s="44"/>
      <c r="I285" s="35" t="s">
        <v>958</v>
      </c>
      <c r="J285" s="73" t="str">
        <f>HYPERLINK("https://www.nite.go.jp/nbrc/dbrp/dataview?dataId=ANGE0000500031305","ダウンロード")</f>
        <v>ダウンロード</v>
      </c>
    </row>
    <row r="286" spans="1:10" x14ac:dyDescent="0.45">
      <c r="A286" s="70" t="s">
        <v>1225</v>
      </c>
      <c r="B286" s="46" t="s">
        <v>1160</v>
      </c>
      <c r="C286" s="46" t="s">
        <v>988</v>
      </c>
      <c r="D286" s="47" t="s">
        <v>965</v>
      </c>
      <c r="E286" s="47" t="s">
        <v>820</v>
      </c>
      <c r="F286" s="47" t="s">
        <v>764</v>
      </c>
      <c r="G286" s="48">
        <f t="shared" ref="G286:G293" si="33">HYPERLINK("https://www.nite.go.jp/nbrc/catalogue/NBRCMediumDetailServlet?NO=001574",1574)</f>
        <v>1574</v>
      </c>
      <c r="H286" s="48"/>
      <c r="I286" s="49" t="s">
        <v>958</v>
      </c>
      <c r="J286" s="71" t="str">
        <f t="shared" ref="J286:J287" si="34">HYPERLINK("mailto:rd@nite.go.jp","コチラにお問い合わせ下さい。")</f>
        <v>コチラにお問い合わせ下さい。</v>
      </c>
    </row>
    <row r="287" spans="1:10" x14ac:dyDescent="0.45">
      <c r="A287" s="70" t="s">
        <v>1184</v>
      </c>
      <c r="B287" s="46" t="s">
        <v>1161</v>
      </c>
      <c r="C287" s="46" t="s">
        <v>988</v>
      </c>
      <c r="D287" s="47" t="s">
        <v>783</v>
      </c>
      <c r="E287" s="47" t="s">
        <v>826</v>
      </c>
      <c r="F287" s="47" t="s">
        <v>764</v>
      </c>
      <c r="G287" s="48">
        <f t="shared" si="33"/>
        <v>1574</v>
      </c>
      <c r="H287" s="48"/>
      <c r="I287" s="49" t="s">
        <v>958</v>
      </c>
      <c r="J287" s="71" t="str">
        <f t="shared" si="34"/>
        <v>コチラにお問い合わせ下さい。</v>
      </c>
    </row>
    <row r="288" spans="1:10" x14ac:dyDescent="0.45">
      <c r="A288" s="75" t="s">
        <v>1184</v>
      </c>
      <c r="B288" s="3" t="s">
        <v>977</v>
      </c>
      <c r="C288" s="3">
        <v>1</v>
      </c>
      <c r="D288" s="3" t="s">
        <v>783</v>
      </c>
      <c r="E288" s="3" t="s">
        <v>820</v>
      </c>
      <c r="F288" s="35" t="s">
        <v>764</v>
      </c>
      <c r="G288" s="44">
        <f t="shared" si="33"/>
        <v>1574</v>
      </c>
      <c r="H288" s="44"/>
      <c r="I288" s="35" t="s">
        <v>958</v>
      </c>
      <c r="J288" s="73" t="str">
        <f>HYPERLINK("https://www.nite.go.jp/nbrc/dbrp/dataview?dataId=ANGE0000500031306","ダウンロード")</f>
        <v>ダウンロード</v>
      </c>
    </row>
    <row r="289" spans="1:10" x14ac:dyDescent="0.45">
      <c r="A289" s="75" t="s">
        <v>1184</v>
      </c>
      <c r="B289" s="3" t="s">
        <v>978</v>
      </c>
      <c r="C289" s="3">
        <v>1</v>
      </c>
      <c r="D289" s="3" t="s">
        <v>783</v>
      </c>
      <c r="E289" s="3" t="s">
        <v>820</v>
      </c>
      <c r="F289" s="35" t="s">
        <v>764</v>
      </c>
      <c r="G289" s="44">
        <f t="shared" si="33"/>
        <v>1574</v>
      </c>
      <c r="H289" s="44"/>
      <c r="I289" s="35" t="s">
        <v>958</v>
      </c>
      <c r="J289" s="73" t="str">
        <f>HYPERLINK("https://www.nite.go.jp/nbrc/dbrp/dataview?dataId=ANGE0000500031307","ダウンロード")</f>
        <v>ダウンロード</v>
      </c>
    </row>
    <row r="290" spans="1:10" x14ac:dyDescent="0.45">
      <c r="A290" s="70" t="s">
        <v>1226</v>
      </c>
      <c r="B290" s="46" t="s">
        <v>1162</v>
      </c>
      <c r="C290" s="46" t="s">
        <v>989</v>
      </c>
      <c r="D290" s="47" t="s">
        <v>783</v>
      </c>
      <c r="E290" s="47" t="s">
        <v>809</v>
      </c>
      <c r="F290" s="47" t="s">
        <v>764</v>
      </c>
      <c r="G290" s="48">
        <f t="shared" si="33"/>
        <v>1574</v>
      </c>
      <c r="H290" s="48"/>
      <c r="I290" s="49" t="s">
        <v>958</v>
      </c>
      <c r="J290" s="71" t="str">
        <f>HYPERLINK("mailto:rd@nite.go.jp","コチラにお問い合わせ下さい。")</f>
        <v>コチラにお問い合わせ下さい。</v>
      </c>
    </row>
    <row r="291" spans="1:10" x14ac:dyDescent="0.45">
      <c r="A291" s="75" t="s">
        <v>1266</v>
      </c>
      <c r="B291" s="3" t="s">
        <v>979</v>
      </c>
      <c r="C291" s="3">
        <v>1</v>
      </c>
      <c r="D291" s="3" t="s">
        <v>783</v>
      </c>
      <c r="E291" s="3" t="s">
        <v>826</v>
      </c>
      <c r="F291" s="35" t="s">
        <v>764</v>
      </c>
      <c r="G291" s="44">
        <f t="shared" si="33"/>
        <v>1574</v>
      </c>
      <c r="H291" s="44"/>
      <c r="I291" s="35" t="s">
        <v>958</v>
      </c>
      <c r="J291" s="73" t="str">
        <f>HYPERLINK("https://www.nite.go.jp/nbrc/dbrp/dataview?dataId=ANGE0000500031308","ダウンロード")</f>
        <v>ダウンロード</v>
      </c>
    </row>
    <row r="292" spans="1:10" x14ac:dyDescent="0.45">
      <c r="A292" s="75" t="s">
        <v>1267</v>
      </c>
      <c r="B292" s="3" t="s">
        <v>980</v>
      </c>
      <c r="C292" s="3">
        <v>1</v>
      </c>
      <c r="D292" s="3" t="s">
        <v>783</v>
      </c>
      <c r="E292" s="3" t="s">
        <v>826</v>
      </c>
      <c r="F292" s="35" t="s">
        <v>764</v>
      </c>
      <c r="G292" s="44">
        <f t="shared" si="33"/>
        <v>1574</v>
      </c>
      <c r="H292" s="44"/>
      <c r="I292" s="35" t="s">
        <v>958</v>
      </c>
      <c r="J292" s="73" t="str">
        <f>HYPERLINK("https://www.nite.go.jp/nbrc/dbrp/dataview?dataId=ANGE0000500031309","ダウンロード")</f>
        <v>ダウンロード</v>
      </c>
    </row>
    <row r="293" spans="1:10" x14ac:dyDescent="0.45">
      <c r="A293" s="70" t="s">
        <v>1176</v>
      </c>
      <c r="B293" s="46" t="s">
        <v>1163</v>
      </c>
      <c r="C293" s="46" t="s">
        <v>988</v>
      </c>
      <c r="D293" s="47" t="s">
        <v>965</v>
      </c>
      <c r="E293" s="47" t="s">
        <v>901</v>
      </c>
      <c r="F293" s="47" t="s">
        <v>799</v>
      </c>
      <c r="G293" s="48">
        <f t="shared" si="33"/>
        <v>1574</v>
      </c>
      <c r="H293" s="48"/>
      <c r="I293" s="49" t="s">
        <v>958</v>
      </c>
      <c r="J293" s="71" t="str">
        <f t="shared" ref="J293:J295" si="35">HYPERLINK("mailto:rd@nite.go.jp","コチラにお問い合わせ下さい。")</f>
        <v>コチラにお問い合わせ下さい。</v>
      </c>
    </row>
    <row r="294" spans="1:10" x14ac:dyDescent="0.45">
      <c r="A294" s="70" t="s">
        <v>1201</v>
      </c>
      <c r="B294" s="46" t="s">
        <v>1164</v>
      </c>
      <c r="C294" s="46" t="s">
        <v>988</v>
      </c>
      <c r="D294" s="47" t="s">
        <v>965</v>
      </c>
      <c r="E294" s="47" t="s">
        <v>794</v>
      </c>
      <c r="F294" s="47" t="s">
        <v>897</v>
      </c>
      <c r="G294" s="48">
        <f>HYPERLINK("https://www.nite.go.jp/nbrc/catalogue/NBRCMediumDetailServlet?NO=001509",1509)</f>
        <v>1509</v>
      </c>
      <c r="H294" s="48"/>
      <c r="I294" s="49" t="s">
        <v>958</v>
      </c>
      <c r="J294" s="71" t="str">
        <f t="shared" si="35"/>
        <v>コチラにお問い合わせ下さい。</v>
      </c>
    </row>
    <row r="295" spans="1:10" x14ac:dyDescent="0.45">
      <c r="A295" s="70" t="s">
        <v>1203</v>
      </c>
      <c r="B295" s="46" t="s">
        <v>1165</v>
      </c>
      <c r="C295" s="46" t="s">
        <v>989</v>
      </c>
      <c r="D295" s="47" t="s">
        <v>783</v>
      </c>
      <c r="E295" s="47" t="s">
        <v>901</v>
      </c>
      <c r="F295" s="47" t="s">
        <v>799</v>
      </c>
      <c r="G295" s="48">
        <f>HYPERLINK("https://www.nite.go.jp/nbrc/catalogue/NBRCMediumDetailServlet?NO=001535",1535)</f>
        <v>1535</v>
      </c>
      <c r="H295" s="48"/>
      <c r="I295" s="49" t="s">
        <v>958</v>
      </c>
      <c r="J295" s="71" t="str">
        <f t="shared" si="35"/>
        <v>コチラにお問い合わせ下さい。</v>
      </c>
    </row>
    <row r="296" spans="1:10" x14ac:dyDescent="0.45">
      <c r="A296" s="75" t="s">
        <v>1268</v>
      </c>
      <c r="B296" s="3" t="s">
        <v>981</v>
      </c>
      <c r="C296" s="3">
        <v>1</v>
      </c>
      <c r="D296" s="3" t="s">
        <v>783</v>
      </c>
      <c r="E296" s="3" t="s">
        <v>826</v>
      </c>
      <c r="F296" s="35" t="s">
        <v>764</v>
      </c>
      <c r="G296" s="44">
        <f>HYPERLINK("https://www.nite.go.jp/nbrc/catalogue/NBRCMediumDetailServlet?NO=001534",1534)</f>
        <v>1534</v>
      </c>
      <c r="H296" s="44"/>
      <c r="I296" s="35" t="s">
        <v>958</v>
      </c>
      <c r="J296" s="73" t="str">
        <f>HYPERLINK("https://www.nite.go.jp/nbrc/dbrp/dataview?dataId=ANGE0000500031310","ダウンロード")</f>
        <v>ダウンロード</v>
      </c>
    </row>
    <row r="297" spans="1:10" x14ac:dyDescent="0.45">
      <c r="A297" s="70" t="s">
        <v>1189</v>
      </c>
      <c r="B297" s="46" t="s">
        <v>1166</v>
      </c>
      <c r="C297" s="46" t="s">
        <v>989</v>
      </c>
      <c r="D297" s="47" t="s">
        <v>783</v>
      </c>
      <c r="E297" s="47" t="s">
        <v>826</v>
      </c>
      <c r="F297" s="47" t="s">
        <v>764</v>
      </c>
      <c r="G297" s="48">
        <f>HYPERLINK("https://www.nite.go.jp/nbrc/catalogue/NBRCMediumDetailServlet?NO=001534",1534)</f>
        <v>1534</v>
      </c>
      <c r="H297" s="48"/>
      <c r="I297" s="49" t="s">
        <v>958</v>
      </c>
      <c r="J297" s="71" t="str">
        <f>HYPERLINK("mailto:rd@nite.go.jp","コチラにお問い合わせ下さい。")</f>
        <v>コチラにお問い合わせ下さい。</v>
      </c>
    </row>
    <row r="298" spans="1:10" x14ac:dyDescent="0.45">
      <c r="A298" s="75" t="s">
        <v>1269</v>
      </c>
      <c r="B298" s="3" t="s">
        <v>982</v>
      </c>
      <c r="C298" s="3">
        <v>1</v>
      </c>
      <c r="D298" s="3" t="s">
        <v>783</v>
      </c>
      <c r="E298" s="3" t="s">
        <v>807</v>
      </c>
      <c r="F298" s="35" t="s">
        <v>764</v>
      </c>
      <c r="G298" s="44">
        <f>HYPERLINK("https://www.nite.go.jp/nbrc/catalogue/NBRCMediumDetailServlet?NO=001534",1534)</f>
        <v>1534</v>
      </c>
      <c r="H298" s="44"/>
      <c r="I298" s="35" t="s">
        <v>958</v>
      </c>
      <c r="J298" s="73" t="str">
        <f>HYPERLINK("https://www.nite.go.jp/nbrc/dbrp/dataview?dataId=ANGE0000500031311","ダウンロード")</f>
        <v>ダウンロード</v>
      </c>
    </row>
    <row r="299" spans="1:10" x14ac:dyDescent="0.45">
      <c r="A299" s="70" t="s">
        <v>1223</v>
      </c>
      <c r="B299" s="46" t="s">
        <v>1167</v>
      </c>
      <c r="C299" s="46" t="s">
        <v>989</v>
      </c>
      <c r="D299" s="47" t="s">
        <v>783</v>
      </c>
      <c r="E299" s="47" t="s">
        <v>820</v>
      </c>
      <c r="F299" s="47" t="s">
        <v>764</v>
      </c>
      <c r="G299" s="48">
        <f>HYPERLINK("https://www.nite.go.jp/nbrc/catalogue/NBRCMediumDetailServlet?NO=001574",1574)</f>
        <v>1574</v>
      </c>
      <c r="H299" s="48"/>
      <c r="I299" s="49" t="s">
        <v>958</v>
      </c>
      <c r="J299" s="71" t="str">
        <f>HYPERLINK("mailto:rd@nite.go.jp","コチラにお問い合わせ下さい。")</f>
        <v>コチラにお問い合わせ下さい。</v>
      </c>
    </row>
    <row r="300" spans="1:10" x14ac:dyDescent="0.45">
      <c r="A300" s="72" t="s">
        <v>973</v>
      </c>
      <c r="B300" s="34" t="s">
        <v>983</v>
      </c>
      <c r="C300" s="34">
        <v>1</v>
      </c>
      <c r="D300" s="35" t="s">
        <v>783</v>
      </c>
      <c r="E300" s="35" t="s">
        <v>807</v>
      </c>
      <c r="F300" s="35" t="s">
        <v>764</v>
      </c>
      <c r="G300" s="44">
        <f>HYPERLINK("https://www.nite.go.jp/nbrc/catalogue/NBRCMediumDetailServlet?NO=001535",1535)</f>
        <v>1535</v>
      </c>
      <c r="H300" s="44"/>
      <c r="I300" s="36" t="s">
        <v>958</v>
      </c>
      <c r="J300" s="73" t="str">
        <f>HYPERLINK("https://www.nite.go.jp/nbrc/dbrp/dataview?dataId=ANGE0000500031312","ダウンロード")</f>
        <v>ダウンロード</v>
      </c>
    </row>
    <row r="301" spans="1:10" ht="18.600000000000001" thickBot="1" x14ac:dyDescent="0.5">
      <c r="A301" s="77" t="s">
        <v>1201</v>
      </c>
      <c r="B301" s="78" t="s">
        <v>1168</v>
      </c>
      <c r="C301" s="78" t="s">
        <v>988</v>
      </c>
      <c r="D301" s="79" t="s">
        <v>965</v>
      </c>
      <c r="E301" s="79" t="s">
        <v>820</v>
      </c>
      <c r="F301" s="79" t="s">
        <v>764</v>
      </c>
      <c r="G301" s="80">
        <f>HYPERLINK("https://www.nite.go.jp/nbrc/catalogue/NBRCMediumDetailServlet?NO=001574",1574)</f>
        <v>1574</v>
      </c>
      <c r="H301" s="80"/>
      <c r="I301" s="81" t="s">
        <v>958</v>
      </c>
      <c r="J301" s="82" t="str">
        <f>HYPERLINK("mailto:rd@nite.go.jp","コチラにお問い合わせ下さい。")</f>
        <v>コチラにお問い合わせ下さい。</v>
      </c>
    </row>
    <row r="302" spans="1:10" x14ac:dyDescent="0.45">
      <c r="A302" s="51" t="s">
        <v>1270</v>
      </c>
    </row>
  </sheetData>
  <mergeCells count="1">
    <mergeCell ref="A2:I2"/>
  </mergeCells>
  <phoneticPr fontId="1"/>
  <conditionalFormatting sqref="A4:J301">
    <cfRule type="expression" dxfId="0" priority="4">
      <formula>EXACT(LEFT($A4,FIND(" ",$A4)-1),_xlfn.XLOOKUP(RIGHT($B4,6),#REF!,#REF!))=FALSE</formula>
    </cfRule>
  </conditionalFormatting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NBRC株</vt:lpstr>
      <vt:lpstr>RD 株 </vt:lpstr>
      <vt:lpstr>NBRC株!Print_Area</vt:lpstr>
      <vt:lpstr>'RD 株 '!Print_Area</vt:lpstr>
      <vt:lpstr>NBRC株!Print_Titles</vt:lpstr>
      <vt:lpstr>'RD 株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2020-10-14T04:29:59Z</dcterms:created>
  <dcterms:modified xsi:type="dcterms:W3CDTF">2023-08-21T01:53:20Z</dcterms:modified>
</cp:coreProperties>
</file>